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autoCompressPictures="0"/>
  <mc:AlternateContent xmlns:mc="http://schemas.openxmlformats.org/markup-compatibility/2006">
    <mc:Choice Requires="x15">
      <x15ac:absPath xmlns:x15ac="http://schemas.microsoft.com/office/spreadsheetml/2010/11/ac" url="C:\Users\Caroline\Documents\_CHEMICALS-2022\Chemobs\Chemobs-Bret-files\"/>
    </mc:Choice>
  </mc:AlternateContent>
  <xr:revisionPtr revIDLastSave="0" documentId="13_ncr:1_{BDE81D0B-7BED-44E9-845C-9CD7024629BE}" xr6:coauthVersionLast="47" xr6:coauthVersionMax="47" xr10:uidLastSave="{00000000-0000-0000-0000-000000000000}"/>
  <bookViews>
    <workbookView xWindow="5895" yWindow="-15480" windowWidth="19440" windowHeight="15000" tabRatio="816" xr2:uid="{00000000-000D-0000-FFFF-FFFF00000000}"/>
  </bookViews>
  <sheets>
    <sheet name="Summary" sheetId="13" r:id="rId1"/>
    <sheet name="Dietary" sheetId="7" r:id="rId2"/>
    <sheet name="Water" sheetId="16" r:id="rId3"/>
    <sheet name="Soil" sheetId="9" r:id="rId4"/>
    <sheet name="Dust" sheetId="15" r:id="rId5"/>
    <sheet name="Pb" sheetId="12" state="hidden" r:id="rId6"/>
    <sheet name="Economic Inputs" sheetId="14" r:id="rId7"/>
    <sheet name="CA_ingestion" sheetId="5" state="hidden" r:id="rId8"/>
    <sheet name="Hg Values" sheetId="11" state="hidden" r:id="rId9"/>
    <sheet name="OP Values" sheetId="10" state="hidden" r:id="rId10"/>
    <sheet name="List Data" sheetId="6" state="hidden" r:id="rId11"/>
  </sheets>
  <externalReferences>
    <externalReference r:id="rId12"/>
  </externalReferences>
  <definedNames>
    <definedName name="_xlnm._FilterDatabase" localSheetId="1" hidden="1">Dietary!$A$4:$T$4</definedName>
    <definedName name="_xlnm._FilterDatabase" localSheetId="6" hidden="1">'Economic Inputs'!$A$1:$S$273</definedName>
    <definedName name="_xlnm._FilterDatabase" localSheetId="10" hidden="1">'List Data'!$A$1:$C$1</definedName>
    <definedName name="_xlnm._FilterDatabase" localSheetId="5" hidden="1">Pb!$A$2:$D$2</definedName>
    <definedName name="IRIS">'[1]Comparison of list'!$A$1:$A$77</definedName>
    <definedName name="Jack">'[1]Comparison of list'!$B$1:$B$96</definedName>
  </definedNames>
  <calcPr calcId="181029"/>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H25" i="13" l="1"/>
  <c r="I27" i="13"/>
  <c r="I31" i="13" s="1"/>
  <c r="H27" i="13"/>
  <c r="E5" i="15"/>
  <c r="I5" i="15"/>
  <c r="E5" i="9"/>
  <c r="X5" i="9" s="1"/>
  <c r="I5" i="9"/>
  <c r="E5" i="16"/>
  <c r="H5" i="16"/>
  <c r="F5" i="7"/>
  <c r="I5" i="7"/>
  <c r="O5" i="7"/>
  <c r="R5" i="7" s="1"/>
  <c r="P5" i="7"/>
  <c r="R25" i="7"/>
  <c r="Q3" i="7"/>
  <c r="O5" i="16"/>
  <c r="V5" i="16" s="1"/>
  <c r="G2" i="5"/>
  <c r="Q5" i="15"/>
  <c r="R5" i="15"/>
  <c r="S5" i="15" s="1"/>
  <c r="F2" i="5"/>
  <c r="G3" i="5"/>
  <c r="O6" i="15"/>
  <c r="X6" i="15" s="1"/>
  <c r="P6" i="15"/>
  <c r="Q6" i="15"/>
  <c r="R6" i="15"/>
  <c r="O7" i="15"/>
  <c r="P7" i="15"/>
  <c r="Q7" i="15"/>
  <c r="R7" i="15"/>
  <c r="S7" i="15" s="1"/>
  <c r="O8" i="15"/>
  <c r="AC8" i="15" s="1"/>
  <c r="P8" i="15"/>
  <c r="Q8" i="15"/>
  <c r="R8" i="15"/>
  <c r="S8" i="15" s="1"/>
  <c r="O9" i="15"/>
  <c r="P9" i="15"/>
  <c r="Q9" i="15"/>
  <c r="R9" i="15"/>
  <c r="S9" i="15" s="1"/>
  <c r="O10" i="15"/>
  <c r="X10" i="15" s="1"/>
  <c r="P10" i="15"/>
  <c r="Q10" i="15"/>
  <c r="R10" i="15"/>
  <c r="S10" i="15" s="1"/>
  <c r="O11" i="15"/>
  <c r="AC11" i="15" s="1"/>
  <c r="P11" i="15"/>
  <c r="Q11" i="15"/>
  <c r="R11" i="15"/>
  <c r="S11" i="15" s="1"/>
  <c r="O12" i="15"/>
  <c r="AE12" i="15" s="1"/>
  <c r="P12" i="15"/>
  <c r="Q12" i="15"/>
  <c r="R12" i="15"/>
  <c r="S12" i="15" s="1"/>
  <c r="O13" i="15"/>
  <c r="P13" i="15"/>
  <c r="Q13" i="15"/>
  <c r="R13" i="15"/>
  <c r="S13" i="15" s="1"/>
  <c r="O14" i="15"/>
  <c r="AE14" i="15" s="1"/>
  <c r="P14" i="15"/>
  <c r="Q14" i="15"/>
  <c r="R14" i="15"/>
  <c r="S14" i="15" s="1"/>
  <c r="O15" i="15"/>
  <c r="P15" i="15"/>
  <c r="Q15" i="15"/>
  <c r="R15" i="15"/>
  <c r="S15" i="15" s="1"/>
  <c r="O16" i="15"/>
  <c r="Y16" i="15" s="1"/>
  <c r="P16" i="15"/>
  <c r="Q16" i="15"/>
  <c r="R16" i="15"/>
  <c r="S16" i="15"/>
  <c r="O17" i="15"/>
  <c r="AC17" i="15" s="1"/>
  <c r="P17" i="15"/>
  <c r="Q17" i="15"/>
  <c r="R17" i="15"/>
  <c r="S17" i="15" s="1"/>
  <c r="O18" i="15"/>
  <c r="P18" i="15"/>
  <c r="Q18" i="15"/>
  <c r="R18" i="15"/>
  <c r="S18" i="15" s="1"/>
  <c r="O19" i="15"/>
  <c r="P19" i="15"/>
  <c r="Q19" i="15"/>
  <c r="R19" i="15"/>
  <c r="S19" i="15"/>
  <c r="O20" i="15"/>
  <c r="P20" i="15"/>
  <c r="Q20" i="15"/>
  <c r="R20" i="15"/>
  <c r="S20" i="15"/>
  <c r="O21" i="15"/>
  <c r="AC21" i="15" s="1"/>
  <c r="P21" i="15"/>
  <c r="Q21" i="15"/>
  <c r="R21" i="15"/>
  <c r="S21" i="15" s="1"/>
  <c r="O22" i="15"/>
  <c r="P22" i="15"/>
  <c r="Q22" i="15"/>
  <c r="R22" i="15"/>
  <c r="S22" i="15" s="1"/>
  <c r="O23" i="15"/>
  <c r="AE23" i="15" s="1"/>
  <c r="P23" i="15"/>
  <c r="Q23" i="15"/>
  <c r="R23" i="15"/>
  <c r="O24" i="15"/>
  <c r="P24" i="15"/>
  <c r="Q24" i="15"/>
  <c r="R24" i="15"/>
  <c r="S24" i="15"/>
  <c r="O25" i="15"/>
  <c r="AC25" i="15" s="1"/>
  <c r="AD25" i="15" s="1"/>
  <c r="AF25" i="15" s="1"/>
  <c r="P25" i="15"/>
  <c r="Q25" i="15"/>
  <c r="R25" i="15"/>
  <c r="S25" i="15" s="1"/>
  <c r="O26" i="15"/>
  <c r="P26" i="15"/>
  <c r="Q26" i="15"/>
  <c r="R26" i="15"/>
  <c r="S26" i="15" s="1"/>
  <c r="O27" i="15"/>
  <c r="X27" i="15" s="1"/>
  <c r="P27" i="15"/>
  <c r="Q27" i="15"/>
  <c r="R27" i="15"/>
  <c r="S27" i="15" s="1"/>
  <c r="O28" i="15"/>
  <c r="AC28" i="15" s="1"/>
  <c r="P28" i="15"/>
  <c r="Q28" i="15"/>
  <c r="R28" i="15"/>
  <c r="S28" i="15" s="1"/>
  <c r="O29" i="15"/>
  <c r="Y29" i="15" s="1"/>
  <c r="P29" i="15"/>
  <c r="Q29" i="15"/>
  <c r="R29" i="15"/>
  <c r="O30" i="15"/>
  <c r="P30" i="15"/>
  <c r="Q30" i="15"/>
  <c r="R30" i="15"/>
  <c r="S30" i="15" s="1"/>
  <c r="O31" i="15"/>
  <c r="AE31" i="15" s="1"/>
  <c r="P31" i="15"/>
  <c r="Q31" i="15"/>
  <c r="R31" i="15"/>
  <c r="S31" i="15" s="1"/>
  <c r="O32" i="15"/>
  <c r="P32" i="15"/>
  <c r="Q32" i="15"/>
  <c r="R32" i="15"/>
  <c r="O33" i="15"/>
  <c r="AB33" i="15" s="1"/>
  <c r="P33" i="15"/>
  <c r="Q33" i="15"/>
  <c r="R33" i="15"/>
  <c r="S33" i="15" s="1"/>
  <c r="O34" i="15"/>
  <c r="AC34" i="15" s="1"/>
  <c r="P34" i="15"/>
  <c r="Q34" i="15"/>
  <c r="R34" i="15"/>
  <c r="S34" i="15"/>
  <c r="O35" i="15"/>
  <c r="P35" i="15"/>
  <c r="Q35" i="15"/>
  <c r="R35" i="15"/>
  <c r="S35" i="15" s="1"/>
  <c r="O36" i="15"/>
  <c r="AC36" i="15" s="1"/>
  <c r="P36" i="15"/>
  <c r="Q36" i="15"/>
  <c r="R36" i="15"/>
  <c r="S36" i="15" s="1"/>
  <c r="O37" i="15"/>
  <c r="P37" i="15"/>
  <c r="Q37" i="15"/>
  <c r="R37" i="15"/>
  <c r="S37" i="15"/>
  <c r="O38" i="15"/>
  <c r="P38" i="15"/>
  <c r="Q38" i="15"/>
  <c r="R38" i="15"/>
  <c r="S38" i="15" s="1"/>
  <c r="O39" i="15"/>
  <c r="AE39" i="15" s="1"/>
  <c r="P39" i="15"/>
  <c r="Q39" i="15"/>
  <c r="R39" i="15"/>
  <c r="S39" i="15" s="1"/>
  <c r="O40" i="15"/>
  <c r="P40" i="15"/>
  <c r="Q40" i="15"/>
  <c r="R40" i="15"/>
  <c r="S40" i="15" s="1"/>
  <c r="O41" i="15"/>
  <c r="P41" i="15"/>
  <c r="Q41" i="15"/>
  <c r="R41" i="15"/>
  <c r="S41" i="15"/>
  <c r="O42" i="15"/>
  <c r="P42" i="15"/>
  <c r="Q42" i="15"/>
  <c r="R42" i="15"/>
  <c r="S42" i="15" s="1"/>
  <c r="O43" i="15"/>
  <c r="AE43" i="15" s="1"/>
  <c r="P43" i="15"/>
  <c r="Q43" i="15"/>
  <c r="R43" i="15"/>
  <c r="S43" i="15"/>
  <c r="O44" i="15"/>
  <c r="V44" i="15" s="1"/>
  <c r="P44" i="15"/>
  <c r="Q44" i="15"/>
  <c r="R44" i="15"/>
  <c r="S44" i="15" s="1"/>
  <c r="O45" i="15"/>
  <c r="P45" i="15"/>
  <c r="Q45" i="15"/>
  <c r="R45" i="15"/>
  <c r="S45" i="15" s="1"/>
  <c r="O46" i="15"/>
  <c r="Z46" i="15" s="1"/>
  <c r="P46" i="15"/>
  <c r="Q46" i="15"/>
  <c r="R46" i="15"/>
  <c r="O47" i="15"/>
  <c r="P47" i="15"/>
  <c r="Q47" i="15"/>
  <c r="R47" i="15"/>
  <c r="S47" i="15" s="1"/>
  <c r="O48" i="15"/>
  <c r="AE48" i="15" s="1"/>
  <c r="P48" i="15"/>
  <c r="Q48" i="15"/>
  <c r="R48" i="15"/>
  <c r="S48" i="15" s="1"/>
  <c r="O49" i="15"/>
  <c r="P49" i="15"/>
  <c r="Q49" i="15"/>
  <c r="R49" i="15"/>
  <c r="S49" i="15"/>
  <c r="O50" i="15"/>
  <c r="AC50" i="15" s="1"/>
  <c r="P50" i="15"/>
  <c r="Q50" i="15"/>
  <c r="R50" i="15"/>
  <c r="S50" i="15" s="1"/>
  <c r="O51" i="15"/>
  <c r="P51" i="15"/>
  <c r="Q51" i="15"/>
  <c r="R51" i="15"/>
  <c r="S51" i="15" s="1"/>
  <c r="O52" i="15"/>
  <c r="P52" i="15"/>
  <c r="Q52" i="15"/>
  <c r="R52" i="15"/>
  <c r="S52" i="15" s="1"/>
  <c r="O53" i="15"/>
  <c r="P53" i="15"/>
  <c r="Q53" i="15"/>
  <c r="R53" i="15"/>
  <c r="S53" i="15" s="1"/>
  <c r="O54" i="15"/>
  <c r="P54" i="15"/>
  <c r="Q54" i="15"/>
  <c r="R54" i="15"/>
  <c r="S54" i="15"/>
  <c r="O55" i="15"/>
  <c r="AE55" i="15" s="1"/>
  <c r="P55" i="15"/>
  <c r="Q55" i="15"/>
  <c r="R55" i="15"/>
  <c r="S55" i="15" s="1"/>
  <c r="O56" i="15"/>
  <c r="P56" i="15"/>
  <c r="Q56" i="15"/>
  <c r="R56" i="15"/>
  <c r="O57" i="15"/>
  <c r="P57" i="15"/>
  <c r="Q57" i="15"/>
  <c r="R57" i="15"/>
  <c r="S57" i="15"/>
  <c r="O58" i="15"/>
  <c r="P58" i="15"/>
  <c r="Q58" i="15"/>
  <c r="R58" i="15"/>
  <c r="S58" i="15"/>
  <c r="O59" i="15"/>
  <c r="AE59" i="15" s="1"/>
  <c r="P59" i="15"/>
  <c r="Q59" i="15"/>
  <c r="R59" i="15"/>
  <c r="S59" i="15" s="1"/>
  <c r="O60" i="15"/>
  <c r="P60" i="15"/>
  <c r="Q60" i="15"/>
  <c r="R60" i="15"/>
  <c r="S60" i="15" s="1"/>
  <c r="O61" i="15"/>
  <c r="Y61" i="15" s="1"/>
  <c r="P61" i="15"/>
  <c r="Q61" i="15"/>
  <c r="R61" i="15"/>
  <c r="S61" i="15" s="1"/>
  <c r="O62" i="15"/>
  <c r="P62" i="15"/>
  <c r="Q62" i="15"/>
  <c r="R62" i="15"/>
  <c r="S62" i="15"/>
  <c r="O63" i="15"/>
  <c r="P63" i="15"/>
  <c r="Q63" i="15"/>
  <c r="R63" i="15"/>
  <c r="S63" i="15" s="1"/>
  <c r="O64" i="15"/>
  <c r="P64" i="15"/>
  <c r="Q64" i="15"/>
  <c r="R64" i="15"/>
  <c r="S64" i="15" s="1"/>
  <c r="O65" i="15"/>
  <c r="P65" i="15"/>
  <c r="Q65" i="15"/>
  <c r="R65" i="15"/>
  <c r="O66" i="15"/>
  <c r="P66" i="15"/>
  <c r="Q66" i="15"/>
  <c r="R66" i="15"/>
  <c r="S66" i="15"/>
  <c r="O67" i="15"/>
  <c r="P67" i="15"/>
  <c r="Q67" i="15"/>
  <c r="R67" i="15"/>
  <c r="S67" i="15" s="1"/>
  <c r="O68" i="15"/>
  <c r="P68" i="15"/>
  <c r="Q68" i="15"/>
  <c r="R68" i="15"/>
  <c r="S68" i="15" s="1"/>
  <c r="O69" i="15"/>
  <c r="P69" i="15"/>
  <c r="Q69" i="15"/>
  <c r="R69" i="15"/>
  <c r="O70" i="15"/>
  <c r="P70" i="15"/>
  <c r="Q70" i="15"/>
  <c r="AC70" i="15" s="1"/>
  <c r="R70" i="15"/>
  <c r="S70" i="15" s="1"/>
  <c r="O71" i="15"/>
  <c r="P71" i="15"/>
  <c r="Q71" i="15"/>
  <c r="R71" i="15"/>
  <c r="S71" i="15" s="1"/>
  <c r="O72" i="15"/>
  <c r="AE72" i="15" s="1"/>
  <c r="P72" i="15"/>
  <c r="Q72" i="15"/>
  <c r="R72" i="15"/>
  <c r="S72" i="15" s="1"/>
  <c r="O73" i="15"/>
  <c r="AE73" i="15" s="1"/>
  <c r="P73" i="15"/>
  <c r="Q73" i="15"/>
  <c r="AC73" i="15" s="1"/>
  <c r="R73" i="15"/>
  <c r="O74" i="15"/>
  <c r="P74" i="15"/>
  <c r="Q74" i="15"/>
  <c r="R74" i="15"/>
  <c r="S74" i="15"/>
  <c r="O75" i="15"/>
  <c r="P75" i="15"/>
  <c r="Q75" i="15"/>
  <c r="R75" i="15"/>
  <c r="S75" i="15" s="1"/>
  <c r="O76" i="15"/>
  <c r="P76" i="15"/>
  <c r="Q76" i="15"/>
  <c r="R76" i="15"/>
  <c r="S76" i="15" s="1"/>
  <c r="O77" i="15"/>
  <c r="AC77" i="15" s="1"/>
  <c r="P77" i="15"/>
  <c r="Q77" i="15"/>
  <c r="R77" i="15"/>
  <c r="S77" i="15" s="1"/>
  <c r="O78" i="15"/>
  <c r="P78" i="15"/>
  <c r="Q78" i="15"/>
  <c r="R78" i="15"/>
  <c r="S78" i="15" s="1"/>
  <c r="O79" i="15"/>
  <c r="P79" i="15"/>
  <c r="Q79" i="15"/>
  <c r="R79" i="15"/>
  <c r="S79" i="15" s="1"/>
  <c r="O80" i="15"/>
  <c r="P80" i="15"/>
  <c r="Q80" i="15"/>
  <c r="R80" i="15"/>
  <c r="S80" i="15"/>
  <c r="O81" i="15"/>
  <c r="P81" i="15"/>
  <c r="Q81" i="15"/>
  <c r="R81" i="15"/>
  <c r="O82" i="15"/>
  <c r="AE82" i="15" s="1"/>
  <c r="P82" i="15"/>
  <c r="Q82" i="15"/>
  <c r="R82" i="15"/>
  <c r="S82" i="15" s="1"/>
  <c r="O83" i="15"/>
  <c r="P83" i="15"/>
  <c r="Q83" i="15"/>
  <c r="R83" i="15"/>
  <c r="S83" i="15" s="1"/>
  <c r="O84" i="15"/>
  <c r="AB84" i="15" s="1"/>
  <c r="P84" i="15"/>
  <c r="Q84" i="15"/>
  <c r="R84" i="15"/>
  <c r="O85" i="15"/>
  <c r="P85" i="15"/>
  <c r="Q85" i="15"/>
  <c r="R85" i="15"/>
  <c r="S85" i="15" s="1"/>
  <c r="O86" i="15"/>
  <c r="AC86" i="15" s="1"/>
  <c r="P86" i="15"/>
  <c r="Q86" i="15"/>
  <c r="R86" i="15"/>
  <c r="S86" i="15"/>
  <c r="O87" i="15"/>
  <c r="AC87" i="15" s="1"/>
  <c r="P87" i="15"/>
  <c r="Q87" i="15"/>
  <c r="R87" i="15"/>
  <c r="S87" i="15"/>
  <c r="O88" i="15"/>
  <c r="P88" i="15"/>
  <c r="Q88" i="15"/>
  <c r="R88" i="15"/>
  <c r="S88" i="15" s="1"/>
  <c r="O89" i="15"/>
  <c r="P89" i="15"/>
  <c r="Q89" i="15"/>
  <c r="R89" i="15"/>
  <c r="S89" i="15"/>
  <c r="O90" i="15"/>
  <c r="P90" i="15"/>
  <c r="Q90" i="15"/>
  <c r="R90" i="15"/>
  <c r="S90" i="15" s="1"/>
  <c r="O91" i="15"/>
  <c r="P91" i="15"/>
  <c r="Q91" i="15"/>
  <c r="R91" i="15"/>
  <c r="S91" i="15" s="1"/>
  <c r="O92" i="15"/>
  <c r="AE92" i="15" s="1"/>
  <c r="P92" i="15"/>
  <c r="Q92" i="15"/>
  <c r="R92" i="15"/>
  <c r="O93" i="15"/>
  <c r="AE93" i="15" s="1"/>
  <c r="P93" i="15"/>
  <c r="Q93" i="15"/>
  <c r="R93" i="15"/>
  <c r="S93" i="15" s="1"/>
  <c r="O94" i="15"/>
  <c r="P94" i="15"/>
  <c r="Q94" i="15"/>
  <c r="R94" i="15"/>
  <c r="S94" i="15" s="1"/>
  <c r="O95" i="15"/>
  <c r="P95" i="15"/>
  <c r="Q95" i="15"/>
  <c r="R95" i="15"/>
  <c r="O96" i="15"/>
  <c r="AC96" i="15" s="1"/>
  <c r="P96" i="15"/>
  <c r="Q96" i="15"/>
  <c r="R96" i="15"/>
  <c r="S96" i="15" s="1"/>
  <c r="O97" i="15"/>
  <c r="P97" i="15"/>
  <c r="Q97" i="15"/>
  <c r="R97" i="15"/>
  <c r="S97" i="15" s="1"/>
  <c r="O98" i="15"/>
  <c r="P98" i="15"/>
  <c r="Q98" i="15"/>
  <c r="R98" i="15"/>
  <c r="O99" i="15"/>
  <c r="P99" i="15"/>
  <c r="Q99" i="15"/>
  <c r="R99" i="15"/>
  <c r="S99" i="15"/>
  <c r="O100" i="15"/>
  <c r="P100" i="15"/>
  <c r="Q100" i="15"/>
  <c r="R100" i="15"/>
  <c r="S100" i="15" s="1"/>
  <c r="O101" i="15"/>
  <c r="AE101" i="15" s="1"/>
  <c r="P101" i="15"/>
  <c r="Q101" i="15"/>
  <c r="R101" i="15"/>
  <c r="S101" i="15"/>
  <c r="O102" i="15"/>
  <c r="P102" i="15"/>
  <c r="Q102" i="15"/>
  <c r="R102" i="15"/>
  <c r="S102" i="15" s="1"/>
  <c r="O103" i="15"/>
  <c r="P103" i="15"/>
  <c r="Q103" i="15"/>
  <c r="R103" i="15"/>
  <c r="S103" i="15"/>
  <c r="O104" i="15"/>
  <c r="P104" i="15"/>
  <c r="Q104" i="15"/>
  <c r="R104" i="15"/>
  <c r="S104" i="15"/>
  <c r="O105" i="15"/>
  <c r="P105" i="15"/>
  <c r="Q105" i="15"/>
  <c r="R105" i="15"/>
  <c r="S105" i="15" s="1"/>
  <c r="E46" i="9"/>
  <c r="I46" i="9"/>
  <c r="E47" i="9"/>
  <c r="I47" i="9"/>
  <c r="E48" i="9"/>
  <c r="I48" i="9"/>
  <c r="E49" i="9"/>
  <c r="I49" i="9"/>
  <c r="E50" i="9"/>
  <c r="I50" i="9"/>
  <c r="E51" i="9"/>
  <c r="I51" i="9"/>
  <c r="E52" i="9"/>
  <c r="I52" i="9"/>
  <c r="E53" i="9"/>
  <c r="I53" i="9"/>
  <c r="E54" i="9"/>
  <c r="I54" i="9"/>
  <c r="E55" i="9"/>
  <c r="I55" i="9"/>
  <c r="E56" i="9"/>
  <c r="I56" i="9"/>
  <c r="E57" i="9"/>
  <c r="I57" i="9"/>
  <c r="E58" i="9"/>
  <c r="I58" i="9"/>
  <c r="E59" i="9"/>
  <c r="I59" i="9"/>
  <c r="E60" i="9"/>
  <c r="I60" i="9"/>
  <c r="E61" i="9"/>
  <c r="I61" i="9"/>
  <c r="E62" i="9"/>
  <c r="I62" i="9"/>
  <c r="E63" i="9"/>
  <c r="I63" i="9"/>
  <c r="E64" i="9"/>
  <c r="I64" i="9"/>
  <c r="E65" i="9"/>
  <c r="I65" i="9"/>
  <c r="E66" i="9"/>
  <c r="I66" i="9"/>
  <c r="E67" i="9"/>
  <c r="I67" i="9"/>
  <c r="E68" i="9"/>
  <c r="I68" i="9"/>
  <c r="E69" i="9"/>
  <c r="I69" i="9"/>
  <c r="E70" i="9"/>
  <c r="I70" i="9"/>
  <c r="E71" i="9"/>
  <c r="I71" i="9"/>
  <c r="E72" i="9"/>
  <c r="I72" i="9"/>
  <c r="E73" i="9"/>
  <c r="I73" i="9"/>
  <c r="E74" i="9"/>
  <c r="I74" i="9"/>
  <c r="E75" i="9"/>
  <c r="I75" i="9"/>
  <c r="E76" i="9"/>
  <c r="I76" i="9"/>
  <c r="E77" i="9"/>
  <c r="I77" i="9"/>
  <c r="E78" i="9"/>
  <c r="I78" i="9"/>
  <c r="E79" i="9"/>
  <c r="I79" i="9"/>
  <c r="E80" i="9"/>
  <c r="I80" i="9"/>
  <c r="E81" i="9"/>
  <c r="I81" i="9"/>
  <c r="E82" i="9"/>
  <c r="I82" i="9"/>
  <c r="E83" i="9"/>
  <c r="I83" i="9"/>
  <c r="E84" i="9"/>
  <c r="I84" i="9"/>
  <c r="E85" i="9"/>
  <c r="I85" i="9"/>
  <c r="E86" i="9"/>
  <c r="I86" i="9"/>
  <c r="E87" i="9"/>
  <c r="I87" i="9"/>
  <c r="E88" i="9"/>
  <c r="I88" i="9"/>
  <c r="E89" i="9"/>
  <c r="I89" i="9"/>
  <c r="E90" i="9"/>
  <c r="I90" i="9"/>
  <c r="E91" i="9"/>
  <c r="I91" i="9"/>
  <c r="E92" i="9"/>
  <c r="I92" i="9"/>
  <c r="E93" i="9"/>
  <c r="I93" i="9"/>
  <c r="E94" i="9"/>
  <c r="I94" i="9"/>
  <c r="E95" i="9"/>
  <c r="I95" i="9"/>
  <c r="E96" i="9"/>
  <c r="I96" i="9"/>
  <c r="E97" i="9"/>
  <c r="I97" i="9"/>
  <c r="E98" i="9"/>
  <c r="I98" i="9"/>
  <c r="E99" i="9"/>
  <c r="I99" i="9"/>
  <c r="E100" i="9"/>
  <c r="I100" i="9"/>
  <c r="E101" i="9"/>
  <c r="I101" i="9"/>
  <c r="E102" i="9"/>
  <c r="I102" i="9"/>
  <c r="E103" i="9"/>
  <c r="I103" i="9"/>
  <c r="E104" i="9"/>
  <c r="I104" i="9"/>
  <c r="E105" i="9"/>
  <c r="I105" i="9"/>
  <c r="O6" i="9"/>
  <c r="AE6" i="9" s="1"/>
  <c r="P6" i="9"/>
  <c r="Q6" i="9"/>
  <c r="R6" i="9"/>
  <c r="S6" i="9" s="1"/>
  <c r="O7" i="9"/>
  <c r="AC7" i="9" s="1"/>
  <c r="P7" i="9"/>
  <c r="Q7" i="9"/>
  <c r="R7" i="9"/>
  <c r="S7" i="9" s="1"/>
  <c r="O8" i="9"/>
  <c r="P8" i="9"/>
  <c r="Q8" i="9"/>
  <c r="R8" i="9"/>
  <c r="S8" i="9"/>
  <c r="O9" i="9"/>
  <c r="AC9" i="9" s="1"/>
  <c r="P9" i="9"/>
  <c r="Q9" i="9"/>
  <c r="R9" i="9"/>
  <c r="S9" i="9" s="1"/>
  <c r="O10" i="9"/>
  <c r="AE10" i="9" s="1"/>
  <c r="P10" i="9"/>
  <c r="Q10" i="9"/>
  <c r="R10" i="9"/>
  <c r="S10" i="9" s="1"/>
  <c r="O11" i="9"/>
  <c r="P11" i="9"/>
  <c r="Q11" i="9"/>
  <c r="R11" i="9"/>
  <c r="S11" i="9"/>
  <c r="O12" i="9"/>
  <c r="P12" i="9"/>
  <c r="Q12" i="9"/>
  <c r="R12" i="9"/>
  <c r="O13" i="9"/>
  <c r="P13" i="9"/>
  <c r="Q13" i="9"/>
  <c r="R13" i="9"/>
  <c r="S13" i="9" s="1"/>
  <c r="O14" i="9"/>
  <c r="AC14" i="9" s="1"/>
  <c r="P14" i="9"/>
  <c r="Q14" i="9"/>
  <c r="R14" i="9"/>
  <c r="S14" i="9" s="1"/>
  <c r="O15" i="9"/>
  <c r="P15" i="9"/>
  <c r="Q15" i="9"/>
  <c r="R15" i="9"/>
  <c r="S15" i="9" s="1"/>
  <c r="O16" i="9"/>
  <c r="P16" i="9"/>
  <c r="Q16" i="9"/>
  <c r="R16" i="9"/>
  <c r="S16" i="9" s="1"/>
  <c r="O17" i="9"/>
  <c r="P17" i="9"/>
  <c r="Q17" i="9"/>
  <c r="R17" i="9"/>
  <c r="S17" i="9" s="1"/>
  <c r="O18" i="9"/>
  <c r="P18" i="9"/>
  <c r="Q18" i="9"/>
  <c r="R18" i="9"/>
  <c r="S18" i="9" s="1"/>
  <c r="O19" i="9"/>
  <c r="P19" i="9"/>
  <c r="Q19" i="9"/>
  <c r="R19" i="9"/>
  <c r="S19" i="9"/>
  <c r="O20" i="9"/>
  <c r="P20" i="9"/>
  <c r="Q20" i="9"/>
  <c r="R20" i="9"/>
  <c r="O21" i="9"/>
  <c r="AC21" i="9" s="1"/>
  <c r="P21" i="9"/>
  <c r="Q21" i="9"/>
  <c r="R21" i="9"/>
  <c r="S21" i="9" s="1"/>
  <c r="O22" i="9"/>
  <c r="P22" i="9"/>
  <c r="Q22" i="9"/>
  <c r="R22" i="9"/>
  <c r="S22" i="9" s="1"/>
  <c r="O23" i="9"/>
  <c r="AC23" i="9" s="1"/>
  <c r="P23" i="9"/>
  <c r="Q23" i="9"/>
  <c r="R23" i="9"/>
  <c r="S23" i="9"/>
  <c r="O24" i="9"/>
  <c r="P24" i="9"/>
  <c r="Q24" i="9"/>
  <c r="R24" i="9"/>
  <c r="S24" i="9" s="1"/>
  <c r="O25" i="9"/>
  <c r="AE25" i="9" s="1"/>
  <c r="P25" i="9"/>
  <c r="Q25" i="9"/>
  <c r="R25" i="9"/>
  <c r="S25" i="9" s="1"/>
  <c r="O26" i="9"/>
  <c r="P26" i="9"/>
  <c r="Q26" i="9"/>
  <c r="R26" i="9"/>
  <c r="S26" i="9" s="1"/>
  <c r="O27" i="9"/>
  <c r="Z27" i="9" s="1"/>
  <c r="P27" i="9"/>
  <c r="Q27" i="9"/>
  <c r="R27" i="9"/>
  <c r="S27" i="9" s="1"/>
  <c r="O28" i="9"/>
  <c r="P28" i="9"/>
  <c r="Q28" i="9"/>
  <c r="R28" i="9"/>
  <c r="O29" i="9"/>
  <c r="Z29" i="9" s="1"/>
  <c r="P29" i="9"/>
  <c r="Q29" i="9"/>
  <c r="R29" i="9"/>
  <c r="S29" i="9" s="1"/>
  <c r="O30" i="9"/>
  <c r="P30" i="9"/>
  <c r="Q30" i="9"/>
  <c r="R30" i="9"/>
  <c r="S30" i="9" s="1"/>
  <c r="O31" i="9"/>
  <c r="AC31" i="9" s="1"/>
  <c r="P31" i="9"/>
  <c r="Q31" i="9"/>
  <c r="R31" i="9"/>
  <c r="S31" i="9" s="1"/>
  <c r="O32" i="9"/>
  <c r="AC32" i="9" s="1"/>
  <c r="P32" i="9"/>
  <c r="Q32" i="9"/>
  <c r="R32" i="9"/>
  <c r="S32" i="9" s="1"/>
  <c r="O33" i="9"/>
  <c r="V33" i="9" s="1"/>
  <c r="P33" i="9"/>
  <c r="Q33" i="9"/>
  <c r="R33" i="9"/>
  <c r="S33" i="9" s="1"/>
  <c r="O34" i="9"/>
  <c r="P34" i="9"/>
  <c r="Q34" i="9"/>
  <c r="R34" i="9"/>
  <c r="S34" i="9" s="1"/>
  <c r="O35" i="9"/>
  <c r="W35" i="9" s="1"/>
  <c r="P35" i="9"/>
  <c r="Q35" i="9"/>
  <c r="R35" i="9"/>
  <c r="S35" i="9" s="1"/>
  <c r="O36" i="9"/>
  <c r="AC36" i="9" s="1"/>
  <c r="P36" i="9"/>
  <c r="Q36" i="9"/>
  <c r="R36" i="9"/>
  <c r="O37" i="9"/>
  <c r="AC37" i="9" s="1"/>
  <c r="P37" i="9"/>
  <c r="Q37" i="9"/>
  <c r="R37" i="9"/>
  <c r="S37" i="9" s="1"/>
  <c r="O38" i="9"/>
  <c r="P38" i="9"/>
  <c r="Q38" i="9"/>
  <c r="R38" i="9"/>
  <c r="S38" i="9"/>
  <c r="O39" i="9"/>
  <c r="P39" i="9"/>
  <c r="Q39" i="9"/>
  <c r="R39" i="9"/>
  <c r="S39" i="9"/>
  <c r="O40" i="9"/>
  <c r="P40" i="9"/>
  <c r="Q40" i="9"/>
  <c r="R40" i="9"/>
  <c r="S40" i="9" s="1"/>
  <c r="O41" i="9"/>
  <c r="P41" i="9"/>
  <c r="Q41" i="9"/>
  <c r="R41" i="9"/>
  <c r="S41" i="9" s="1"/>
  <c r="O42" i="9"/>
  <c r="P42" i="9"/>
  <c r="Q42" i="9"/>
  <c r="R42" i="9"/>
  <c r="S42" i="9" s="1"/>
  <c r="O43" i="9"/>
  <c r="P43" i="9"/>
  <c r="Q43" i="9"/>
  <c r="R43" i="9"/>
  <c r="S43" i="9"/>
  <c r="O44" i="9"/>
  <c r="AC44" i="9" s="1"/>
  <c r="P44" i="9"/>
  <c r="Q44" i="9"/>
  <c r="R44" i="9"/>
  <c r="O45" i="9"/>
  <c r="AC45" i="9" s="1"/>
  <c r="P45" i="9"/>
  <c r="Q45" i="9"/>
  <c r="R45" i="9"/>
  <c r="S45" i="9"/>
  <c r="O46" i="9"/>
  <c r="AC46" i="9" s="1"/>
  <c r="P46" i="9"/>
  <c r="Q46" i="9"/>
  <c r="R46" i="9"/>
  <c r="S46" i="9" s="1"/>
  <c r="O47" i="9"/>
  <c r="P47" i="9"/>
  <c r="Q47" i="9"/>
  <c r="R47" i="9"/>
  <c r="S47" i="9" s="1"/>
  <c r="O48" i="9"/>
  <c r="AE48" i="9" s="1"/>
  <c r="P48" i="9"/>
  <c r="Q48" i="9"/>
  <c r="R48" i="9"/>
  <c r="S48" i="9" s="1"/>
  <c r="O49" i="9"/>
  <c r="X49" i="9" s="1"/>
  <c r="P49" i="9"/>
  <c r="Q49" i="9"/>
  <c r="R49" i="9"/>
  <c r="S49" i="9"/>
  <c r="O50" i="9"/>
  <c r="P50" i="9"/>
  <c r="Q50" i="9"/>
  <c r="R50" i="9"/>
  <c r="S50" i="9"/>
  <c r="O51" i="9"/>
  <c r="X51" i="9" s="1"/>
  <c r="P51" i="9"/>
  <c r="Q51" i="9"/>
  <c r="R51" i="9"/>
  <c r="S51" i="9" s="1"/>
  <c r="O52" i="9"/>
  <c r="AC52" i="9" s="1"/>
  <c r="P52" i="9"/>
  <c r="Q52" i="9"/>
  <c r="R52" i="9"/>
  <c r="S52" i="9" s="1"/>
  <c r="O53" i="9"/>
  <c r="P53" i="9"/>
  <c r="Q53" i="9"/>
  <c r="R53" i="9"/>
  <c r="S53" i="9"/>
  <c r="O54" i="9"/>
  <c r="AC54" i="9" s="1"/>
  <c r="P54" i="9"/>
  <c r="Q54" i="9"/>
  <c r="R54" i="9"/>
  <c r="S54" i="9"/>
  <c r="O55" i="9"/>
  <c r="AC55" i="9" s="1"/>
  <c r="AD55" i="9" s="1"/>
  <c r="AF55" i="9" s="1"/>
  <c r="P55" i="9"/>
  <c r="Q55" i="9"/>
  <c r="R55" i="9"/>
  <c r="S55" i="9" s="1"/>
  <c r="O56" i="9"/>
  <c r="P56" i="9"/>
  <c r="Q56" i="9"/>
  <c r="R56" i="9"/>
  <c r="S56" i="9"/>
  <c r="O57" i="9"/>
  <c r="P57" i="9"/>
  <c r="Q57" i="9"/>
  <c r="R57" i="9"/>
  <c r="S57" i="9" s="1"/>
  <c r="O58" i="9"/>
  <c r="X58" i="9" s="1"/>
  <c r="P58" i="9"/>
  <c r="Q58" i="9"/>
  <c r="R58" i="9"/>
  <c r="S58" i="9" s="1"/>
  <c r="O59" i="9"/>
  <c r="X59" i="9" s="1"/>
  <c r="P59" i="9"/>
  <c r="Q59" i="9"/>
  <c r="R59" i="9"/>
  <c r="S59" i="9" s="1"/>
  <c r="O60" i="9"/>
  <c r="AC60" i="9" s="1"/>
  <c r="P60" i="9"/>
  <c r="Q60" i="9"/>
  <c r="R60" i="9"/>
  <c r="S60" i="9" s="1"/>
  <c r="O61" i="9"/>
  <c r="W61" i="9" s="1"/>
  <c r="P61" i="9"/>
  <c r="Q61" i="9"/>
  <c r="R61" i="9"/>
  <c r="S61" i="9" s="1"/>
  <c r="O62" i="9"/>
  <c r="AC62" i="9" s="1"/>
  <c r="AD62" i="9" s="1"/>
  <c r="AF62" i="9" s="1"/>
  <c r="P62" i="9"/>
  <c r="Q62" i="9"/>
  <c r="R62" i="9"/>
  <c r="O63" i="9"/>
  <c r="AA63" i="9" s="1"/>
  <c r="P63" i="9"/>
  <c r="Q63" i="9"/>
  <c r="R63" i="9"/>
  <c r="S63" i="9"/>
  <c r="O64" i="9"/>
  <c r="AE64" i="9" s="1"/>
  <c r="P64" i="9"/>
  <c r="Q64" i="9"/>
  <c r="R64" i="9"/>
  <c r="S64" i="9"/>
  <c r="O65" i="9"/>
  <c r="AC65" i="9" s="1"/>
  <c r="AD65" i="9" s="1"/>
  <c r="AF65" i="9" s="1"/>
  <c r="P65" i="9"/>
  <c r="Q65" i="9"/>
  <c r="R65" i="9"/>
  <c r="S65" i="9" s="1"/>
  <c r="O66" i="9"/>
  <c r="X66" i="9" s="1"/>
  <c r="P66" i="9"/>
  <c r="Q66" i="9"/>
  <c r="R66" i="9"/>
  <c r="S66" i="9" s="1"/>
  <c r="O67" i="9"/>
  <c r="X67" i="9" s="1"/>
  <c r="P67" i="9"/>
  <c r="Q67" i="9"/>
  <c r="R67" i="9"/>
  <c r="S67" i="9" s="1"/>
  <c r="O68" i="9"/>
  <c r="V68" i="9" s="1"/>
  <c r="P68" i="9"/>
  <c r="Q68" i="9"/>
  <c r="R68" i="9"/>
  <c r="S68" i="9" s="1"/>
  <c r="O69" i="9"/>
  <c r="AC69" i="9" s="1"/>
  <c r="AD69" i="9" s="1"/>
  <c r="AF69" i="9" s="1"/>
  <c r="P69" i="9"/>
  <c r="Q69" i="9"/>
  <c r="R69" i="9"/>
  <c r="S69" i="9" s="1"/>
  <c r="O70" i="9"/>
  <c r="AC70" i="9" s="1"/>
  <c r="AD70" i="9" s="1"/>
  <c r="AF70" i="9" s="1"/>
  <c r="P70" i="9"/>
  <c r="Q70" i="9"/>
  <c r="R70" i="9"/>
  <c r="S70" i="9" s="1"/>
  <c r="O71" i="9"/>
  <c r="Z71" i="9" s="1"/>
  <c r="P71" i="9"/>
  <c r="Q71" i="9"/>
  <c r="R71" i="9"/>
  <c r="S71" i="9" s="1"/>
  <c r="O72" i="9"/>
  <c r="AC72" i="9" s="1"/>
  <c r="P72" i="9"/>
  <c r="Q72" i="9"/>
  <c r="R72" i="9"/>
  <c r="S72" i="9"/>
  <c r="O73" i="9"/>
  <c r="P73" i="9"/>
  <c r="Q73" i="9"/>
  <c r="R73" i="9"/>
  <c r="S73" i="9" s="1"/>
  <c r="O74" i="9"/>
  <c r="P74" i="9"/>
  <c r="Q74" i="9"/>
  <c r="R74" i="9"/>
  <c r="S74" i="9" s="1"/>
  <c r="O75" i="9"/>
  <c r="P75" i="9"/>
  <c r="Q75" i="9"/>
  <c r="R75" i="9"/>
  <c r="S75" i="9" s="1"/>
  <c r="O76" i="9"/>
  <c r="P76" i="9"/>
  <c r="Q76" i="9"/>
  <c r="R76" i="9"/>
  <c r="S76" i="9" s="1"/>
  <c r="O77" i="9"/>
  <c r="AC77" i="9" s="1"/>
  <c r="AD77" i="9" s="1"/>
  <c r="AF77" i="9" s="1"/>
  <c r="P77" i="9"/>
  <c r="Q77" i="9"/>
  <c r="R77" i="9"/>
  <c r="S77" i="9" s="1"/>
  <c r="O78" i="9"/>
  <c r="P78" i="9"/>
  <c r="Q78" i="9"/>
  <c r="R78" i="9"/>
  <c r="S78" i="9" s="1"/>
  <c r="O79" i="9"/>
  <c r="AC79" i="9" s="1"/>
  <c r="AD79" i="9" s="1"/>
  <c r="AF79" i="9" s="1"/>
  <c r="AE79" i="9"/>
  <c r="P79" i="9"/>
  <c r="Q79" i="9"/>
  <c r="R79" i="9"/>
  <c r="S79" i="9" s="1"/>
  <c r="O80" i="9"/>
  <c r="AC80" i="9" s="1"/>
  <c r="AD80" i="9" s="1"/>
  <c r="AF80" i="9" s="1"/>
  <c r="P80" i="9"/>
  <c r="Q80" i="9"/>
  <c r="R80" i="9"/>
  <c r="S80" i="9" s="1"/>
  <c r="O81" i="9"/>
  <c r="AC81" i="9" s="1"/>
  <c r="AD81" i="9" s="1"/>
  <c r="AF81" i="9" s="1"/>
  <c r="P81" i="9"/>
  <c r="Q81" i="9"/>
  <c r="R81" i="9"/>
  <c r="S81" i="9"/>
  <c r="O82" i="9"/>
  <c r="X82" i="9" s="1"/>
  <c r="P82" i="9"/>
  <c r="Q82" i="9"/>
  <c r="R82" i="9"/>
  <c r="S82" i="9"/>
  <c r="O83" i="9"/>
  <c r="X83" i="9" s="1"/>
  <c r="P83" i="9"/>
  <c r="Q83" i="9"/>
  <c r="R83" i="9"/>
  <c r="S83" i="9"/>
  <c r="O84" i="9"/>
  <c r="AC84" i="9" s="1"/>
  <c r="P84" i="9"/>
  <c r="Q84" i="9"/>
  <c r="R84" i="9"/>
  <c r="S84" i="9" s="1"/>
  <c r="O85" i="9"/>
  <c r="AC85" i="9" s="1"/>
  <c r="P85" i="9"/>
  <c r="Q85" i="9"/>
  <c r="R85" i="9"/>
  <c r="S85" i="9" s="1"/>
  <c r="O86" i="9"/>
  <c r="P86" i="9"/>
  <c r="Q86" i="9"/>
  <c r="R86" i="9"/>
  <c r="O87" i="9"/>
  <c r="AC87" i="9" s="1"/>
  <c r="AD87" i="9" s="1"/>
  <c r="AF87" i="9" s="1"/>
  <c r="P87" i="9"/>
  <c r="Q87" i="9"/>
  <c r="R87" i="9"/>
  <c r="S87" i="9" s="1"/>
  <c r="O88" i="9"/>
  <c r="P88" i="9"/>
  <c r="Q88" i="9"/>
  <c r="R88" i="9"/>
  <c r="S88" i="9" s="1"/>
  <c r="O89" i="9"/>
  <c r="W89" i="9" s="1"/>
  <c r="P89" i="9"/>
  <c r="Q89" i="9"/>
  <c r="R89" i="9"/>
  <c r="S89" i="9" s="1"/>
  <c r="O90" i="9"/>
  <c r="P90" i="9"/>
  <c r="Q90" i="9"/>
  <c r="R90" i="9"/>
  <c r="S90" i="9"/>
  <c r="O91" i="9"/>
  <c r="X91" i="9" s="1"/>
  <c r="P91" i="9"/>
  <c r="Q91" i="9"/>
  <c r="R91" i="9"/>
  <c r="S91" i="9"/>
  <c r="O92" i="9"/>
  <c r="AC92" i="9" s="1"/>
  <c r="P92" i="9"/>
  <c r="Q92" i="9"/>
  <c r="R92" i="9"/>
  <c r="S92" i="9" s="1"/>
  <c r="O93" i="9"/>
  <c r="AC93" i="9" s="1"/>
  <c r="AD93" i="9" s="1"/>
  <c r="AF93" i="9" s="1"/>
  <c r="P93" i="9"/>
  <c r="Q93" i="9"/>
  <c r="R93" i="9"/>
  <c r="S93" i="9" s="1"/>
  <c r="O94" i="9"/>
  <c r="P94" i="9"/>
  <c r="Q94" i="9"/>
  <c r="R94" i="9"/>
  <c r="S94" i="9" s="1"/>
  <c r="O95" i="9"/>
  <c r="Y95" i="9" s="1"/>
  <c r="P95" i="9"/>
  <c r="Q95" i="9"/>
  <c r="R95" i="9"/>
  <c r="S95" i="9" s="1"/>
  <c r="O96" i="9"/>
  <c r="P96" i="9"/>
  <c r="Q96" i="9"/>
  <c r="R96" i="9"/>
  <c r="S96" i="9" s="1"/>
  <c r="O97" i="9"/>
  <c r="P97" i="9"/>
  <c r="Q97" i="9"/>
  <c r="R97" i="9"/>
  <c r="S97" i="9" s="1"/>
  <c r="O98" i="9"/>
  <c r="P98" i="9"/>
  <c r="Q98" i="9"/>
  <c r="R98" i="9"/>
  <c r="S98" i="9" s="1"/>
  <c r="O99" i="9"/>
  <c r="X99" i="9" s="1"/>
  <c r="P99" i="9"/>
  <c r="Q99" i="9"/>
  <c r="R99" i="9"/>
  <c r="S99" i="9"/>
  <c r="O100" i="9"/>
  <c r="AC100" i="9" s="1"/>
  <c r="AD100" i="9" s="1"/>
  <c r="AF100" i="9" s="1"/>
  <c r="P100" i="9"/>
  <c r="Q100" i="9"/>
  <c r="R100" i="9"/>
  <c r="S100" i="9" s="1"/>
  <c r="O101" i="9"/>
  <c r="P101" i="9"/>
  <c r="Q101" i="9"/>
  <c r="R101" i="9"/>
  <c r="S101" i="9"/>
  <c r="O102" i="9"/>
  <c r="AC102" i="9" s="1"/>
  <c r="P102" i="9"/>
  <c r="Q102" i="9"/>
  <c r="R102" i="9"/>
  <c r="O103" i="9"/>
  <c r="P103" i="9"/>
  <c r="Q103" i="9"/>
  <c r="R103" i="9"/>
  <c r="S103" i="9" s="1"/>
  <c r="O104" i="9"/>
  <c r="AC104" i="9" s="1"/>
  <c r="P104" i="9"/>
  <c r="Q104" i="9"/>
  <c r="R104" i="9"/>
  <c r="S104" i="9"/>
  <c r="O105" i="9"/>
  <c r="Z105" i="9" s="1"/>
  <c r="P105" i="9"/>
  <c r="Q105" i="9"/>
  <c r="R105" i="9"/>
  <c r="S105" i="9" s="1"/>
  <c r="R5" i="9"/>
  <c r="O6" i="16"/>
  <c r="P6" i="16"/>
  <c r="Q6" i="16"/>
  <c r="O7" i="16"/>
  <c r="W7" i="16" s="1"/>
  <c r="P7" i="16"/>
  <c r="Q7" i="16"/>
  <c r="O8" i="16"/>
  <c r="AA8" i="16" s="1"/>
  <c r="P8" i="16"/>
  <c r="Q8" i="16"/>
  <c r="O9" i="16"/>
  <c r="P9" i="16"/>
  <c r="Q9" i="16"/>
  <c r="O10" i="16"/>
  <c r="P10" i="16"/>
  <c r="Q10" i="16"/>
  <c r="O11" i="16"/>
  <c r="P11" i="16"/>
  <c r="Q11" i="16"/>
  <c r="O12" i="16"/>
  <c r="Y12" i="16" s="1"/>
  <c r="P12" i="16"/>
  <c r="Q12" i="16"/>
  <c r="O13" i="16"/>
  <c r="P13" i="16"/>
  <c r="Q13" i="16"/>
  <c r="O14" i="16"/>
  <c r="P14" i="16"/>
  <c r="Q14" i="16"/>
  <c r="O15" i="16"/>
  <c r="P15" i="16"/>
  <c r="Q15" i="16"/>
  <c r="O16" i="16"/>
  <c r="P16" i="16"/>
  <c r="Q16" i="16"/>
  <c r="O17" i="16"/>
  <c r="P17" i="16"/>
  <c r="Q17" i="16"/>
  <c r="O18" i="16"/>
  <c r="P18" i="16"/>
  <c r="Q18" i="16"/>
  <c r="O19" i="16"/>
  <c r="AC19" i="16" s="1"/>
  <c r="P19" i="16"/>
  <c r="Q19" i="16"/>
  <c r="O20" i="16"/>
  <c r="T20" i="16" s="1"/>
  <c r="P20" i="16"/>
  <c r="Q20" i="16"/>
  <c r="O21" i="16"/>
  <c r="P21" i="16"/>
  <c r="Q21" i="16"/>
  <c r="O22" i="16"/>
  <c r="P22" i="16"/>
  <c r="Q22" i="16"/>
  <c r="O23" i="16"/>
  <c r="P23" i="16"/>
  <c r="Q23" i="16"/>
  <c r="O24" i="16"/>
  <c r="P24" i="16"/>
  <c r="Q24" i="16"/>
  <c r="O25" i="16"/>
  <c r="P25" i="16"/>
  <c r="Q25" i="16"/>
  <c r="O26" i="16"/>
  <c r="P26" i="16"/>
  <c r="Q26" i="16"/>
  <c r="O27" i="16"/>
  <c r="P27" i="16"/>
  <c r="Q27" i="16"/>
  <c r="O28" i="16"/>
  <c r="AA28" i="16" s="1"/>
  <c r="AB28" i="16" s="1"/>
  <c r="AD28" i="16" s="1"/>
  <c r="P28" i="16"/>
  <c r="Q28" i="16"/>
  <c r="O29" i="16"/>
  <c r="P29" i="16"/>
  <c r="Q29" i="16"/>
  <c r="O30" i="16"/>
  <c r="P30" i="16"/>
  <c r="Q30" i="16"/>
  <c r="O31" i="16"/>
  <c r="P31" i="16"/>
  <c r="Q31" i="16"/>
  <c r="O32" i="16"/>
  <c r="P32" i="16"/>
  <c r="Q32" i="16"/>
  <c r="O33" i="16"/>
  <c r="P33" i="16"/>
  <c r="Q33" i="16"/>
  <c r="O34" i="16"/>
  <c r="P34" i="16"/>
  <c r="Q34" i="16"/>
  <c r="O35" i="16"/>
  <c r="P35" i="16"/>
  <c r="Q35" i="16"/>
  <c r="O36" i="16"/>
  <c r="Y36" i="16" s="1"/>
  <c r="P36" i="16"/>
  <c r="Q36" i="16"/>
  <c r="O37" i="16"/>
  <c r="P37" i="16"/>
  <c r="Q37" i="16"/>
  <c r="O38" i="16"/>
  <c r="P38" i="16"/>
  <c r="Q38" i="16"/>
  <c r="O39" i="16"/>
  <c r="P39" i="16"/>
  <c r="Q39" i="16"/>
  <c r="O40" i="16"/>
  <c r="AA40" i="16" s="1"/>
  <c r="P40" i="16"/>
  <c r="Q40" i="16"/>
  <c r="O41" i="16"/>
  <c r="T41" i="16" s="1"/>
  <c r="P41" i="16"/>
  <c r="Q41" i="16"/>
  <c r="O42" i="16"/>
  <c r="P42" i="16"/>
  <c r="Q42" i="16"/>
  <c r="O43" i="16"/>
  <c r="P43" i="16"/>
  <c r="Q43" i="16"/>
  <c r="O44" i="16"/>
  <c r="P44" i="16"/>
  <c r="Q44" i="16"/>
  <c r="O45" i="16"/>
  <c r="P45" i="16"/>
  <c r="Q45" i="16"/>
  <c r="O46" i="16"/>
  <c r="P46" i="16"/>
  <c r="Q46" i="16"/>
  <c r="O47" i="16"/>
  <c r="P47" i="16"/>
  <c r="Q47" i="16"/>
  <c r="O48" i="16"/>
  <c r="P48" i="16"/>
  <c r="Q48" i="16"/>
  <c r="O49" i="16"/>
  <c r="W49" i="16" s="1"/>
  <c r="P49" i="16"/>
  <c r="Q49" i="16"/>
  <c r="O50" i="16"/>
  <c r="P50" i="16"/>
  <c r="Q50" i="16"/>
  <c r="O51" i="16"/>
  <c r="P51" i="16"/>
  <c r="Q51" i="16"/>
  <c r="O52" i="16"/>
  <c r="P52" i="16"/>
  <c r="Q52" i="16"/>
  <c r="O53" i="16"/>
  <c r="P53" i="16"/>
  <c r="Q53" i="16"/>
  <c r="O54" i="16"/>
  <c r="P54" i="16"/>
  <c r="Q54" i="16"/>
  <c r="O55" i="16"/>
  <c r="P55" i="16"/>
  <c r="Q55" i="16"/>
  <c r="O56" i="16"/>
  <c r="P56" i="16"/>
  <c r="Q56" i="16"/>
  <c r="O57" i="16"/>
  <c r="T57" i="16" s="1"/>
  <c r="P57" i="16"/>
  <c r="Q57" i="16"/>
  <c r="O58" i="16"/>
  <c r="P58" i="16"/>
  <c r="Q58" i="16"/>
  <c r="O59" i="16"/>
  <c r="AC59" i="16" s="1"/>
  <c r="P59" i="16"/>
  <c r="Q59" i="16"/>
  <c r="O60" i="16"/>
  <c r="P60" i="16"/>
  <c r="Q60" i="16"/>
  <c r="O61" i="16"/>
  <c r="AA61" i="16"/>
  <c r="P61" i="16"/>
  <c r="Q61" i="16"/>
  <c r="O62" i="16"/>
  <c r="P62" i="16"/>
  <c r="Q62" i="16"/>
  <c r="O63" i="16"/>
  <c r="P63" i="16"/>
  <c r="Q63" i="16"/>
  <c r="O64" i="16"/>
  <c r="P64" i="16"/>
  <c r="Q64" i="16"/>
  <c r="O65" i="16"/>
  <c r="P65" i="16"/>
  <c r="Q65" i="16"/>
  <c r="O66" i="16"/>
  <c r="P66" i="16"/>
  <c r="Q66" i="16"/>
  <c r="O67" i="16"/>
  <c r="X67" i="16" s="1"/>
  <c r="P67" i="16"/>
  <c r="Q67" i="16"/>
  <c r="O68" i="16"/>
  <c r="P68" i="16"/>
  <c r="Q68" i="16"/>
  <c r="O69" i="16"/>
  <c r="P69" i="16"/>
  <c r="Q69" i="16"/>
  <c r="O70" i="16"/>
  <c r="P70" i="16"/>
  <c r="Q70" i="16"/>
  <c r="O71" i="16"/>
  <c r="P71" i="16"/>
  <c r="Q71" i="16"/>
  <c r="O72" i="16"/>
  <c r="P72" i="16"/>
  <c r="Q72" i="16"/>
  <c r="O73" i="16"/>
  <c r="P73" i="16"/>
  <c r="Q73" i="16"/>
  <c r="O74" i="16"/>
  <c r="P74" i="16"/>
  <c r="Q74" i="16"/>
  <c r="O75" i="16"/>
  <c r="T75" i="16" s="1"/>
  <c r="P75" i="16"/>
  <c r="Q75" i="16"/>
  <c r="O76" i="16"/>
  <c r="P76" i="16"/>
  <c r="Q76" i="16"/>
  <c r="O77" i="16"/>
  <c r="P77" i="16"/>
  <c r="Q77" i="16"/>
  <c r="O78" i="16"/>
  <c r="P78" i="16"/>
  <c r="Q78" i="16"/>
  <c r="O79" i="16"/>
  <c r="P79" i="16"/>
  <c r="Q79" i="16"/>
  <c r="O80" i="16"/>
  <c r="AA80" i="16" s="1"/>
  <c r="P80" i="16"/>
  <c r="Q80" i="16"/>
  <c r="O81" i="16"/>
  <c r="P81" i="16"/>
  <c r="Q81" i="16"/>
  <c r="O82" i="16"/>
  <c r="P82" i="16"/>
  <c r="Q82" i="16"/>
  <c r="O83" i="16"/>
  <c r="U83" i="16" s="1"/>
  <c r="P83" i="16"/>
  <c r="Q83" i="16"/>
  <c r="O84" i="16"/>
  <c r="P84" i="16"/>
  <c r="Q84" i="16"/>
  <c r="O85" i="16"/>
  <c r="P85" i="16"/>
  <c r="Q85" i="16"/>
  <c r="O86" i="16"/>
  <c r="P86" i="16"/>
  <c r="Q86" i="16"/>
  <c r="O87" i="16"/>
  <c r="P87" i="16"/>
  <c r="Q87" i="16"/>
  <c r="O88" i="16"/>
  <c r="P88" i="16"/>
  <c r="Q88" i="16"/>
  <c r="O89" i="16"/>
  <c r="P89" i="16"/>
  <c r="Q89" i="16"/>
  <c r="O90" i="16"/>
  <c r="P90" i="16"/>
  <c r="Q90" i="16"/>
  <c r="O91" i="16"/>
  <c r="X91" i="16" s="1"/>
  <c r="P91" i="16"/>
  <c r="Q91" i="16"/>
  <c r="O92" i="16"/>
  <c r="AA92" i="16" s="1"/>
  <c r="P92" i="16"/>
  <c r="Q92" i="16"/>
  <c r="O93" i="16"/>
  <c r="P93" i="16"/>
  <c r="Q93" i="16"/>
  <c r="O94" i="16"/>
  <c r="P94" i="16"/>
  <c r="Q94" i="16"/>
  <c r="O95" i="16"/>
  <c r="P95" i="16"/>
  <c r="Q95" i="16"/>
  <c r="O96" i="16"/>
  <c r="AA96" i="16" s="1"/>
  <c r="P96" i="16"/>
  <c r="Q96" i="16"/>
  <c r="O97" i="16"/>
  <c r="P97" i="16"/>
  <c r="Q97" i="16"/>
  <c r="O98" i="16"/>
  <c r="AA98" i="16" s="1"/>
  <c r="P98" i="16"/>
  <c r="Q98" i="16"/>
  <c r="O99" i="16"/>
  <c r="P99" i="16"/>
  <c r="Q99" i="16"/>
  <c r="O100" i="16"/>
  <c r="P100" i="16"/>
  <c r="Q100" i="16"/>
  <c r="O101" i="16"/>
  <c r="P101" i="16"/>
  <c r="Q101" i="16"/>
  <c r="O102" i="16"/>
  <c r="P102" i="16"/>
  <c r="Q102" i="16"/>
  <c r="O103" i="16"/>
  <c r="P103" i="16"/>
  <c r="Q103" i="16"/>
  <c r="O104" i="16"/>
  <c r="AA104" i="16" s="1"/>
  <c r="P104" i="16"/>
  <c r="Q104" i="16"/>
  <c r="O6" i="7"/>
  <c r="R6" i="7" s="1"/>
  <c r="P6" i="7"/>
  <c r="Q6" i="7"/>
  <c r="O7" i="7"/>
  <c r="R7" i="7" s="1"/>
  <c r="P7" i="7"/>
  <c r="AD7" i="7" s="1"/>
  <c r="Q7" i="7"/>
  <c r="O8" i="7"/>
  <c r="R8" i="7" s="1"/>
  <c r="P8" i="7"/>
  <c r="Q8" i="7"/>
  <c r="O9" i="7"/>
  <c r="R9" i="7" s="1"/>
  <c r="P9" i="7"/>
  <c r="Q9" i="7"/>
  <c r="O10" i="7"/>
  <c r="R10" i="7" s="1"/>
  <c r="P10" i="7"/>
  <c r="Q10" i="7"/>
  <c r="O11" i="7"/>
  <c r="R11" i="7" s="1"/>
  <c r="P11" i="7"/>
  <c r="Q11" i="7"/>
  <c r="O12" i="7"/>
  <c r="R12" i="7" s="1"/>
  <c r="P12" i="7"/>
  <c r="AB12" i="7" s="1"/>
  <c r="Q12" i="7"/>
  <c r="O13" i="7"/>
  <c r="R13" i="7" s="1"/>
  <c r="P13" i="7"/>
  <c r="Q13" i="7"/>
  <c r="O14" i="7"/>
  <c r="R14" i="7" s="1"/>
  <c r="P14" i="7"/>
  <c r="Q14" i="7"/>
  <c r="O15" i="7"/>
  <c r="R15" i="7" s="1"/>
  <c r="P15" i="7"/>
  <c r="V15" i="7" s="1"/>
  <c r="Q15" i="7"/>
  <c r="O16" i="7"/>
  <c r="R16" i="7" s="1"/>
  <c r="P16" i="7"/>
  <c r="AD16" i="7" s="1"/>
  <c r="Q16" i="7"/>
  <c r="O17" i="7"/>
  <c r="R17" i="7" s="1"/>
  <c r="P17" i="7"/>
  <c r="Q17" i="7"/>
  <c r="O18" i="7"/>
  <c r="R18" i="7" s="1"/>
  <c r="P18" i="7"/>
  <c r="Q18" i="7"/>
  <c r="O19" i="7"/>
  <c r="R19" i="7" s="1"/>
  <c r="P19" i="7"/>
  <c r="Q19" i="7"/>
  <c r="O20" i="7"/>
  <c r="R20" i="7" s="1"/>
  <c r="P20" i="7"/>
  <c r="Q20" i="7"/>
  <c r="O21" i="7"/>
  <c r="R21" i="7" s="1"/>
  <c r="P21" i="7"/>
  <c r="Q21" i="7"/>
  <c r="O22" i="7"/>
  <c r="R22" i="7" s="1"/>
  <c r="P22" i="7"/>
  <c r="Q22" i="7"/>
  <c r="O23" i="7"/>
  <c r="R23" i="7" s="1"/>
  <c r="P23" i="7"/>
  <c r="U23" i="7" s="1"/>
  <c r="Q23" i="7"/>
  <c r="O24" i="7"/>
  <c r="R24" i="7" s="1"/>
  <c r="P24" i="7"/>
  <c r="Q24" i="7"/>
  <c r="O25" i="7"/>
  <c r="P25" i="7"/>
  <c r="Q25" i="7"/>
  <c r="O26" i="7"/>
  <c r="R26" i="7" s="1"/>
  <c r="P26" i="7"/>
  <c r="Q26" i="7"/>
  <c r="O27" i="7"/>
  <c r="R27" i="7" s="1"/>
  <c r="P27" i="7"/>
  <c r="Q27" i="7"/>
  <c r="O28" i="7"/>
  <c r="R28" i="7" s="1"/>
  <c r="P28" i="7"/>
  <c r="Q28" i="7"/>
  <c r="O29" i="7"/>
  <c r="R29" i="7" s="1"/>
  <c r="P29" i="7"/>
  <c r="Q29" i="7"/>
  <c r="O30" i="7"/>
  <c r="R30" i="7" s="1"/>
  <c r="P30" i="7"/>
  <c r="Q30" i="7"/>
  <c r="O31" i="7"/>
  <c r="R31" i="7" s="1"/>
  <c r="P31" i="7"/>
  <c r="U31" i="7" s="1"/>
  <c r="Q31" i="7"/>
  <c r="O32" i="7"/>
  <c r="R32" i="7" s="1"/>
  <c r="P32" i="7"/>
  <c r="Q32" i="7"/>
  <c r="O33" i="7"/>
  <c r="R33" i="7" s="1"/>
  <c r="P33" i="7"/>
  <c r="Q33" i="7"/>
  <c r="O34" i="7"/>
  <c r="R34" i="7" s="1"/>
  <c r="P34" i="7"/>
  <c r="Q34" i="7"/>
  <c r="O35" i="7"/>
  <c r="R35" i="7" s="1"/>
  <c r="P35" i="7"/>
  <c r="Q35" i="7"/>
  <c r="O36" i="7"/>
  <c r="R36" i="7" s="1"/>
  <c r="P36" i="7"/>
  <c r="AB36" i="7"/>
  <c r="Q36" i="7"/>
  <c r="O37" i="7"/>
  <c r="R37" i="7" s="1"/>
  <c r="P37" i="7"/>
  <c r="AB37" i="7" s="1"/>
  <c r="Q37" i="7"/>
  <c r="O38" i="7"/>
  <c r="R38" i="7" s="1"/>
  <c r="P38" i="7"/>
  <c r="Q38" i="7"/>
  <c r="O39" i="7"/>
  <c r="R39" i="7" s="1"/>
  <c r="P39" i="7"/>
  <c r="Q39" i="7"/>
  <c r="O40" i="7"/>
  <c r="R40" i="7" s="1"/>
  <c r="P40" i="7"/>
  <c r="AB40" i="7" s="1"/>
  <c r="Q40" i="7"/>
  <c r="O41" i="7"/>
  <c r="R41" i="7" s="1"/>
  <c r="P41" i="7"/>
  <c r="AB41" i="7" s="1"/>
  <c r="Q41" i="7"/>
  <c r="O42" i="7"/>
  <c r="R42" i="7" s="1"/>
  <c r="P42" i="7"/>
  <c r="Q42" i="7"/>
  <c r="O43" i="7"/>
  <c r="R43" i="7" s="1"/>
  <c r="P43" i="7"/>
  <c r="Q43" i="7"/>
  <c r="O44" i="7"/>
  <c r="R44" i="7" s="1"/>
  <c r="P44" i="7"/>
  <c r="AB44" i="7" s="1"/>
  <c r="Q44" i="7"/>
  <c r="O45" i="7"/>
  <c r="R45" i="7" s="1"/>
  <c r="P45" i="7"/>
  <c r="Q45" i="7"/>
  <c r="O46" i="7"/>
  <c r="R46" i="7" s="1"/>
  <c r="P46" i="7"/>
  <c r="Q46" i="7"/>
  <c r="O47" i="7"/>
  <c r="R47" i="7" s="1"/>
  <c r="P47" i="7"/>
  <c r="Q47" i="7"/>
  <c r="O48" i="7"/>
  <c r="R48" i="7" s="1"/>
  <c r="P48" i="7"/>
  <c r="Q48" i="7"/>
  <c r="O49" i="7"/>
  <c r="R49" i="7" s="1"/>
  <c r="P49" i="7"/>
  <c r="AB49" i="7" s="1"/>
  <c r="Q49" i="7"/>
  <c r="O50" i="7"/>
  <c r="R50" i="7" s="1"/>
  <c r="P50" i="7"/>
  <c r="Q50" i="7"/>
  <c r="O51" i="7"/>
  <c r="R51" i="7" s="1"/>
  <c r="P51" i="7"/>
  <c r="Q51" i="7"/>
  <c r="O52" i="7"/>
  <c r="R52" i="7" s="1"/>
  <c r="P52" i="7"/>
  <c r="Q52" i="7"/>
  <c r="O53" i="7"/>
  <c r="R53" i="7" s="1"/>
  <c r="P53" i="7"/>
  <c r="Q53" i="7"/>
  <c r="O54" i="7"/>
  <c r="R54" i="7" s="1"/>
  <c r="P54" i="7"/>
  <c r="AB54" i="7" s="1"/>
  <c r="Q54" i="7"/>
  <c r="O55" i="7"/>
  <c r="R55" i="7" s="1"/>
  <c r="P55" i="7"/>
  <c r="Q55" i="7"/>
  <c r="O56" i="7"/>
  <c r="R56" i="7" s="1"/>
  <c r="P56" i="7"/>
  <c r="Q56" i="7"/>
  <c r="O57" i="7"/>
  <c r="R57" i="7" s="1"/>
  <c r="P57" i="7"/>
  <c r="Q57" i="7"/>
  <c r="O58" i="7"/>
  <c r="R58" i="7" s="1"/>
  <c r="P58" i="7"/>
  <c r="AB58" i="7" s="1"/>
  <c r="Q58" i="7"/>
  <c r="O59" i="7"/>
  <c r="R59" i="7" s="1"/>
  <c r="P59" i="7"/>
  <c r="AD59" i="7" s="1"/>
  <c r="Q59" i="7"/>
  <c r="O60" i="7"/>
  <c r="R60" i="7" s="1"/>
  <c r="P60" i="7"/>
  <c r="Q60" i="7"/>
  <c r="O61" i="7"/>
  <c r="R61" i="7" s="1"/>
  <c r="P61" i="7"/>
  <c r="Q61" i="7"/>
  <c r="O62" i="7"/>
  <c r="R62" i="7" s="1"/>
  <c r="P62" i="7"/>
  <c r="AB62" i="7" s="1"/>
  <c r="Q62" i="7"/>
  <c r="O63" i="7"/>
  <c r="R63" i="7" s="1"/>
  <c r="P63" i="7"/>
  <c r="Q63" i="7"/>
  <c r="O64" i="7"/>
  <c r="R64" i="7" s="1"/>
  <c r="P64" i="7"/>
  <c r="Q64" i="7"/>
  <c r="O65" i="7"/>
  <c r="R65" i="7" s="1"/>
  <c r="P65" i="7"/>
  <c r="Q65" i="7"/>
  <c r="O66" i="7"/>
  <c r="R66" i="7" s="1"/>
  <c r="P66" i="7"/>
  <c r="Q66" i="7"/>
  <c r="O67" i="7"/>
  <c r="R67" i="7" s="1"/>
  <c r="P67" i="7"/>
  <c r="U67" i="7" s="1"/>
  <c r="Q67" i="7"/>
  <c r="O68" i="7"/>
  <c r="R68" i="7" s="1"/>
  <c r="P68" i="7"/>
  <c r="Q68" i="7"/>
  <c r="O69" i="7"/>
  <c r="R69" i="7" s="1"/>
  <c r="P69" i="7"/>
  <c r="Q69" i="7"/>
  <c r="O70" i="7"/>
  <c r="R70" i="7" s="1"/>
  <c r="P70" i="7"/>
  <c r="Q70" i="7"/>
  <c r="O71" i="7"/>
  <c r="R71" i="7" s="1"/>
  <c r="P71" i="7"/>
  <c r="Q71" i="7"/>
  <c r="O72" i="7"/>
  <c r="R72" i="7" s="1"/>
  <c r="P72" i="7"/>
  <c r="Q72" i="7"/>
  <c r="O73" i="7"/>
  <c r="R73" i="7" s="1"/>
  <c r="P73" i="7"/>
  <c r="Q73" i="7"/>
  <c r="O74" i="7"/>
  <c r="R74" i="7" s="1"/>
  <c r="P74" i="7"/>
  <c r="Q74" i="7"/>
  <c r="O75" i="7"/>
  <c r="R75" i="7" s="1"/>
  <c r="P75" i="7"/>
  <c r="V75" i="7" s="1"/>
  <c r="Q75" i="7"/>
  <c r="O76" i="7"/>
  <c r="R76" i="7" s="1"/>
  <c r="P76" i="7"/>
  <c r="Q76" i="7"/>
  <c r="O77" i="7"/>
  <c r="R77" i="7" s="1"/>
  <c r="P77" i="7"/>
  <c r="Q77" i="7"/>
  <c r="O78" i="7"/>
  <c r="R78" i="7" s="1"/>
  <c r="P78" i="7"/>
  <c r="Q78" i="7"/>
  <c r="O79" i="7"/>
  <c r="R79" i="7" s="1"/>
  <c r="P79" i="7"/>
  <c r="Q79" i="7"/>
  <c r="O80" i="7"/>
  <c r="R80" i="7" s="1"/>
  <c r="P80" i="7"/>
  <c r="AD80" i="7"/>
  <c r="Q80" i="7"/>
  <c r="O81" i="7"/>
  <c r="R81" i="7" s="1"/>
  <c r="P81" i="7"/>
  <c r="Q81" i="7"/>
  <c r="O82" i="7"/>
  <c r="R82" i="7" s="1"/>
  <c r="P82" i="7"/>
  <c r="Q82" i="7"/>
  <c r="O83" i="7"/>
  <c r="R83" i="7" s="1"/>
  <c r="P83" i="7"/>
  <c r="Q83" i="7"/>
  <c r="O84" i="7"/>
  <c r="R84" i="7" s="1"/>
  <c r="P84" i="7"/>
  <c r="Q84" i="7"/>
  <c r="O85" i="7"/>
  <c r="R85" i="7" s="1"/>
  <c r="P85" i="7"/>
  <c r="Q85" i="7"/>
  <c r="O86" i="7"/>
  <c r="R86" i="7" s="1"/>
  <c r="P86" i="7"/>
  <c r="Q86" i="7"/>
  <c r="O87" i="7"/>
  <c r="R87" i="7" s="1"/>
  <c r="P87" i="7"/>
  <c r="Q87" i="7"/>
  <c r="O88" i="7"/>
  <c r="R88" i="7" s="1"/>
  <c r="P88" i="7"/>
  <c r="AB88" i="7" s="1"/>
  <c r="AC88" i="7" s="1"/>
  <c r="AE88" i="7" s="1"/>
  <c r="AF88" i="7" s="1"/>
  <c r="Q88" i="7"/>
  <c r="O89" i="7"/>
  <c r="R89" i="7" s="1"/>
  <c r="P89" i="7"/>
  <c r="Q89" i="7"/>
  <c r="O90" i="7"/>
  <c r="R90" i="7" s="1"/>
  <c r="P90" i="7"/>
  <c r="Q90" i="7"/>
  <c r="O91" i="7"/>
  <c r="R91" i="7" s="1"/>
  <c r="P91" i="7"/>
  <c r="Q91" i="7"/>
  <c r="O92" i="7"/>
  <c r="R92" i="7" s="1"/>
  <c r="P92" i="7"/>
  <c r="Q92" i="7"/>
  <c r="O93" i="7"/>
  <c r="R93" i="7" s="1"/>
  <c r="P93" i="7"/>
  <c r="Q93" i="7"/>
  <c r="O94" i="7"/>
  <c r="R94" i="7" s="1"/>
  <c r="P94" i="7"/>
  <c r="Q94" i="7"/>
  <c r="O95" i="7"/>
  <c r="R95" i="7" s="1"/>
  <c r="P95" i="7"/>
  <c r="Q95" i="7"/>
  <c r="O96" i="7"/>
  <c r="R96" i="7" s="1"/>
  <c r="P96" i="7"/>
  <c r="AD96" i="7" s="1"/>
  <c r="Q96" i="7"/>
  <c r="O97" i="7"/>
  <c r="R97" i="7" s="1"/>
  <c r="P97" i="7"/>
  <c r="Q97" i="7"/>
  <c r="O98" i="7"/>
  <c r="R98" i="7" s="1"/>
  <c r="P98" i="7"/>
  <c r="Q98" i="7"/>
  <c r="O99" i="7"/>
  <c r="R99" i="7" s="1"/>
  <c r="P99" i="7"/>
  <c r="Q99" i="7"/>
  <c r="O100" i="7"/>
  <c r="R100" i="7" s="1"/>
  <c r="P100" i="7"/>
  <c r="Q100" i="7"/>
  <c r="O101" i="7"/>
  <c r="R101" i="7" s="1"/>
  <c r="P101" i="7"/>
  <c r="Q101" i="7"/>
  <c r="O102" i="7"/>
  <c r="R102" i="7" s="1"/>
  <c r="P102" i="7"/>
  <c r="Q102" i="7"/>
  <c r="O103" i="7"/>
  <c r="R103" i="7" s="1"/>
  <c r="P103" i="7"/>
  <c r="Q103" i="7"/>
  <c r="O104" i="7"/>
  <c r="R104" i="7" s="1"/>
  <c r="P104" i="7"/>
  <c r="AD104" i="7" s="1"/>
  <c r="Q104" i="7"/>
  <c r="E6" i="16"/>
  <c r="E7" i="16"/>
  <c r="E8" i="16"/>
  <c r="E9" i="16"/>
  <c r="E10" i="16"/>
  <c r="E11" i="16"/>
  <c r="E12" i="16"/>
  <c r="E13" i="16"/>
  <c r="E14" i="16"/>
  <c r="E15" i="16"/>
  <c r="E16" i="16"/>
  <c r="E17" i="16"/>
  <c r="E18" i="16"/>
  <c r="Q5" i="16"/>
  <c r="F47" i="7"/>
  <c r="I47" i="7"/>
  <c r="Z47" i="7" s="1"/>
  <c r="F48" i="7"/>
  <c r="I48" i="7"/>
  <c r="F49" i="7"/>
  <c r="I49" i="7"/>
  <c r="F50" i="7"/>
  <c r="I50" i="7"/>
  <c r="F51" i="7"/>
  <c r="I51" i="7"/>
  <c r="F52" i="7"/>
  <c r="I52" i="7"/>
  <c r="F53" i="7"/>
  <c r="I53" i="7"/>
  <c r="F54" i="7"/>
  <c r="I54" i="7"/>
  <c r="F55" i="7"/>
  <c r="I55" i="7"/>
  <c r="F56" i="7"/>
  <c r="I56" i="7"/>
  <c r="U56" i="7" s="1"/>
  <c r="F57" i="7"/>
  <c r="I57" i="7"/>
  <c r="F58" i="7"/>
  <c r="I58" i="7"/>
  <c r="AC58" i="7" s="1"/>
  <c r="AE58" i="7" s="1"/>
  <c r="AF58" i="7" s="1"/>
  <c r="F59" i="7"/>
  <c r="I59" i="7"/>
  <c r="V59" i="7" s="1"/>
  <c r="F60" i="7"/>
  <c r="I60" i="7"/>
  <c r="F61" i="7"/>
  <c r="I61" i="7"/>
  <c r="W61" i="7" s="1"/>
  <c r="F62" i="7"/>
  <c r="I62" i="7"/>
  <c r="F63" i="7"/>
  <c r="I63" i="7"/>
  <c r="F64" i="7"/>
  <c r="I64" i="7"/>
  <c r="F65" i="7"/>
  <c r="I65" i="7"/>
  <c r="X65" i="7" s="1"/>
  <c r="F66" i="7"/>
  <c r="I66" i="7"/>
  <c r="AA66" i="7" s="1"/>
  <c r="F67" i="7"/>
  <c r="I67" i="7"/>
  <c r="F68" i="7"/>
  <c r="I68" i="7"/>
  <c r="F69" i="7"/>
  <c r="I69" i="7"/>
  <c r="AA69" i="7" s="1"/>
  <c r="F70" i="7"/>
  <c r="I70" i="7"/>
  <c r="F71" i="7"/>
  <c r="I71" i="7"/>
  <c r="Y71" i="7" s="1"/>
  <c r="F72" i="7"/>
  <c r="I72" i="7"/>
  <c r="F73" i="7"/>
  <c r="I73" i="7"/>
  <c r="U73" i="7" s="1"/>
  <c r="F74" i="7"/>
  <c r="I74" i="7"/>
  <c r="F75" i="7"/>
  <c r="I75" i="7"/>
  <c r="F76" i="7"/>
  <c r="I76" i="7"/>
  <c r="F77" i="7"/>
  <c r="I77" i="7"/>
  <c r="AA77" i="7" s="1"/>
  <c r="F78" i="7"/>
  <c r="I78" i="7"/>
  <c r="F79" i="7"/>
  <c r="I79" i="7"/>
  <c r="F80" i="7"/>
  <c r="I80" i="7"/>
  <c r="F81" i="7"/>
  <c r="I81" i="7"/>
  <c r="F82" i="7"/>
  <c r="I82" i="7"/>
  <c r="AA82" i="7" s="1"/>
  <c r="F83" i="7"/>
  <c r="I83" i="7"/>
  <c r="F84" i="7"/>
  <c r="I84" i="7"/>
  <c r="F85" i="7"/>
  <c r="I85" i="7"/>
  <c r="F86" i="7"/>
  <c r="I86" i="7"/>
  <c r="F87" i="7"/>
  <c r="I87" i="7"/>
  <c r="F88" i="7"/>
  <c r="I88" i="7"/>
  <c r="F89" i="7"/>
  <c r="I89" i="7"/>
  <c r="F90" i="7"/>
  <c r="I90" i="7"/>
  <c r="F91" i="7"/>
  <c r="I91" i="7"/>
  <c r="F92" i="7"/>
  <c r="I92" i="7"/>
  <c r="F93" i="7"/>
  <c r="I93" i="7"/>
  <c r="F94" i="7"/>
  <c r="I94" i="7"/>
  <c r="F95" i="7"/>
  <c r="I95" i="7"/>
  <c r="F96" i="7"/>
  <c r="I96" i="7"/>
  <c r="F97" i="7"/>
  <c r="I97" i="7"/>
  <c r="F98" i="7"/>
  <c r="I98" i="7"/>
  <c r="F99" i="7"/>
  <c r="I99" i="7"/>
  <c r="F100" i="7"/>
  <c r="I100" i="7"/>
  <c r="F101" i="7"/>
  <c r="I101" i="7"/>
  <c r="F102" i="7"/>
  <c r="I102" i="7"/>
  <c r="F103" i="7"/>
  <c r="I103" i="7"/>
  <c r="F104" i="7"/>
  <c r="I104" i="7"/>
  <c r="F8" i="7"/>
  <c r="I8" i="7"/>
  <c r="F9" i="7"/>
  <c r="I9" i="7"/>
  <c r="X9" i="7" s="1"/>
  <c r="F10" i="7"/>
  <c r="I10" i="7"/>
  <c r="F11" i="7"/>
  <c r="I11" i="7"/>
  <c r="F12" i="7"/>
  <c r="I12" i="7"/>
  <c r="F13" i="7"/>
  <c r="I13" i="7"/>
  <c r="F14" i="7"/>
  <c r="I14" i="7"/>
  <c r="F15" i="7"/>
  <c r="I15" i="7"/>
  <c r="F16" i="7"/>
  <c r="I16" i="7"/>
  <c r="F17" i="7"/>
  <c r="I17" i="7"/>
  <c r="W17" i="7" s="1"/>
  <c r="F18" i="7"/>
  <c r="I18" i="7"/>
  <c r="F19" i="7"/>
  <c r="I19" i="7"/>
  <c r="F20" i="7"/>
  <c r="I20" i="7"/>
  <c r="F21" i="7"/>
  <c r="I21" i="7"/>
  <c r="F22" i="7"/>
  <c r="I22" i="7"/>
  <c r="W22" i="7" s="1"/>
  <c r="F23" i="7"/>
  <c r="I23" i="7"/>
  <c r="F24" i="7"/>
  <c r="I24" i="7"/>
  <c r="F25" i="7"/>
  <c r="I25" i="7"/>
  <c r="F26" i="7"/>
  <c r="I26" i="7"/>
  <c r="F27" i="7"/>
  <c r="I27" i="7"/>
  <c r="F28" i="7"/>
  <c r="I28" i="7"/>
  <c r="V28" i="7" s="1"/>
  <c r="F29" i="7"/>
  <c r="I29" i="7"/>
  <c r="F30" i="7"/>
  <c r="I30" i="7"/>
  <c r="F31" i="7"/>
  <c r="I31" i="7"/>
  <c r="F32" i="7"/>
  <c r="I32" i="7"/>
  <c r="F33" i="7"/>
  <c r="I33" i="7"/>
  <c r="W33" i="7" s="1"/>
  <c r="F34" i="7"/>
  <c r="I34" i="7"/>
  <c r="F35" i="7"/>
  <c r="I35" i="7"/>
  <c r="F36" i="7"/>
  <c r="I36" i="7"/>
  <c r="F37" i="7"/>
  <c r="I37" i="7"/>
  <c r="F38" i="7"/>
  <c r="I38" i="7"/>
  <c r="F39" i="7"/>
  <c r="I39" i="7"/>
  <c r="F40" i="7"/>
  <c r="I40" i="7"/>
  <c r="Y40" i="7" s="1"/>
  <c r="F41" i="7"/>
  <c r="I41" i="7"/>
  <c r="F42" i="7"/>
  <c r="I42" i="7"/>
  <c r="F43" i="7"/>
  <c r="I43" i="7"/>
  <c r="AA43" i="7" s="1"/>
  <c r="F44" i="7"/>
  <c r="I44" i="7"/>
  <c r="F45" i="7"/>
  <c r="I45" i="7"/>
  <c r="U45" i="7" s="1"/>
  <c r="F46" i="7"/>
  <c r="I46" i="7"/>
  <c r="Z46" i="7" s="1"/>
  <c r="F6" i="7"/>
  <c r="I6" i="7"/>
  <c r="Y6" i="7" s="1"/>
  <c r="F7" i="7"/>
  <c r="I7" i="7"/>
  <c r="E7" i="9"/>
  <c r="I7" i="9"/>
  <c r="E8" i="9"/>
  <c r="Y8" i="9" s="1"/>
  <c r="I8" i="9"/>
  <c r="E9" i="9"/>
  <c r="I9" i="9"/>
  <c r="E10" i="9"/>
  <c r="I10" i="9"/>
  <c r="E11" i="9"/>
  <c r="W11" i="9" s="1"/>
  <c r="I11" i="9"/>
  <c r="E12" i="9"/>
  <c r="Y12" i="9" s="1"/>
  <c r="I12" i="9"/>
  <c r="E13" i="9"/>
  <c r="W13" i="9" s="1"/>
  <c r="I13" i="9"/>
  <c r="E14" i="9"/>
  <c r="I14" i="9"/>
  <c r="E15" i="9"/>
  <c r="I15" i="9"/>
  <c r="E16" i="9"/>
  <c r="V16" i="9" s="1"/>
  <c r="I16" i="9"/>
  <c r="E17" i="9"/>
  <c r="I17" i="9"/>
  <c r="E18" i="9"/>
  <c r="I18" i="9"/>
  <c r="E19" i="9"/>
  <c r="I19" i="9"/>
  <c r="E20" i="9"/>
  <c r="AA20" i="9" s="1"/>
  <c r="I20" i="9"/>
  <c r="E21" i="9"/>
  <c r="I21" i="9"/>
  <c r="E22" i="9"/>
  <c r="AA22" i="9" s="1"/>
  <c r="I22" i="9"/>
  <c r="E23" i="9"/>
  <c r="I23" i="9"/>
  <c r="E24" i="9"/>
  <c r="Z24" i="9" s="1"/>
  <c r="I24" i="9"/>
  <c r="E25" i="9"/>
  <c r="I25" i="9"/>
  <c r="E26" i="9"/>
  <c r="AA26" i="9" s="1"/>
  <c r="I26" i="9"/>
  <c r="E27" i="9"/>
  <c r="I27" i="9"/>
  <c r="E28" i="9"/>
  <c r="V28" i="9" s="1"/>
  <c r="I28" i="9"/>
  <c r="E29" i="9"/>
  <c r="I29" i="9"/>
  <c r="E30" i="9"/>
  <c r="AB30" i="9" s="1"/>
  <c r="I30" i="9"/>
  <c r="E31" i="9"/>
  <c r="I31" i="9"/>
  <c r="E32" i="9"/>
  <c r="V32" i="9" s="1"/>
  <c r="I32" i="9"/>
  <c r="E33" i="9"/>
  <c r="I33" i="9"/>
  <c r="E34" i="9"/>
  <c r="I34" i="9"/>
  <c r="E35" i="9"/>
  <c r="I35" i="9"/>
  <c r="E36" i="9"/>
  <c r="W36" i="9" s="1"/>
  <c r="I36" i="9"/>
  <c r="E37" i="9"/>
  <c r="I37" i="9"/>
  <c r="E38" i="9"/>
  <c r="Z38" i="9" s="1"/>
  <c r="I38" i="9"/>
  <c r="E39" i="9"/>
  <c r="I39" i="9"/>
  <c r="E40" i="9"/>
  <c r="AA40" i="9" s="1"/>
  <c r="I40" i="9"/>
  <c r="E41" i="9"/>
  <c r="I41" i="9"/>
  <c r="E42" i="9"/>
  <c r="W42" i="9" s="1"/>
  <c r="I42" i="9"/>
  <c r="E43" i="9"/>
  <c r="I43" i="9"/>
  <c r="E44" i="9"/>
  <c r="I44" i="9"/>
  <c r="E45" i="9"/>
  <c r="I45" i="9"/>
  <c r="I6" i="9"/>
  <c r="S5" i="9"/>
  <c r="I16" i="15"/>
  <c r="E17" i="15"/>
  <c r="E9" i="15"/>
  <c r="W9" i="15" s="1"/>
  <c r="E54" i="16"/>
  <c r="E6" i="15"/>
  <c r="E7" i="15"/>
  <c r="E8" i="15"/>
  <c r="E10" i="15"/>
  <c r="E11" i="15"/>
  <c r="E12" i="15"/>
  <c r="E13" i="15"/>
  <c r="AA13" i="15" s="1"/>
  <c r="E14" i="15"/>
  <c r="E15" i="15"/>
  <c r="AB15" i="15" s="1"/>
  <c r="E16" i="15"/>
  <c r="E18" i="15"/>
  <c r="W18" i="15" s="1"/>
  <c r="E19" i="15"/>
  <c r="E20" i="15"/>
  <c r="E21" i="15"/>
  <c r="E22" i="15"/>
  <c r="Z22" i="15" s="1"/>
  <c r="E23" i="15"/>
  <c r="W23" i="15" s="1"/>
  <c r="E24" i="15"/>
  <c r="AB24" i="15" s="1"/>
  <c r="E25" i="15"/>
  <c r="E26" i="15"/>
  <c r="E27" i="15"/>
  <c r="E28" i="15"/>
  <c r="E29" i="15"/>
  <c r="E30" i="15"/>
  <c r="W30" i="15" s="1"/>
  <c r="E31" i="15"/>
  <c r="E32" i="15"/>
  <c r="E33" i="15"/>
  <c r="E34" i="15"/>
  <c r="E35" i="15"/>
  <c r="E36" i="15"/>
  <c r="X36" i="15" s="1"/>
  <c r="E37" i="15"/>
  <c r="E38" i="15"/>
  <c r="V38" i="15" s="1"/>
  <c r="E39" i="15"/>
  <c r="E40" i="15"/>
  <c r="Z40" i="15" s="1"/>
  <c r="E41" i="15"/>
  <c r="E42" i="15"/>
  <c r="E43" i="15"/>
  <c r="E44" i="15"/>
  <c r="E45" i="15"/>
  <c r="E46" i="15"/>
  <c r="Y46" i="15" s="1"/>
  <c r="E47" i="15"/>
  <c r="E48" i="15"/>
  <c r="E49" i="15"/>
  <c r="E50" i="15"/>
  <c r="E51" i="15"/>
  <c r="E52" i="15"/>
  <c r="Y52" i="15" s="1"/>
  <c r="E53" i="15"/>
  <c r="E54" i="15"/>
  <c r="AB54" i="15" s="1"/>
  <c r="E55" i="15"/>
  <c r="E56" i="15"/>
  <c r="E57" i="15"/>
  <c r="E58" i="15"/>
  <c r="E59" i="15"/>
  <c r="E60" i="15"/>
  <c r="E61" i="15"/>
  <c r="E62" i="15"/>
  <c r="E63" i="15"/>
  <c r="E64" i="15"/>
  <c r="AB64" i="15" s="1"/>
  <c r="E65" i="15"/>
  <c r="E66" i="15"/>
  <c r="E67" i="15"/>
  <c r="E68" i="15"/>
  <c r="AB68" i="15" s="1"/>
  <c r="E69" i="15"/>
  <c r="E70" i="15"/>
  <c r="Y70" i="15" s="1"/>
  <c r="E71" i="15"/>
  <c r="E72" i="15"/>
  <c r="E73" i="15"/>
  <c r="E74" i="15"/>
  <c r="E75" i="15"/>
  <c r="E76" i="15"/>
  <c r="AA76" i="15" s="1"/>
  <c r="E77" i="15"/>
  <c r="V77" i="15" s="1"/>
  <c r="E78" i="15"/>
  <c r="X78" i="15" s="1"/>
  <c r="E79" i="15"/>
  <c r="E80" i="15"/>
  <c r="E81" i="15"/>
  <c r="Z81" i="15" s="1"/>
  <c r="E82" i="15"/>
  <c r="E83" i="15"/>
  <c r="E84" i="15"/>
  <c r="E85" i="15"/>
  <c r="Z85" i="15" s="1"/>
  <c r="E86" i="15"/>
  <c r="E87" i="15"/>
  <c r="E88" i="15"/>
  <c r="E89" i="15"/>
  <c r="E90" i="15"/>
  <c r="E91" i="15"/>
  <c r="E92" i="15"/>
  <c r="E93" i="15"/>
  <c r="Y93" i="15" s="1"/>
  <c r="E94" i="15"/>
  <c r="E95" i="15"/>
  <c r="E96" i="15"/>
  <c r="V96" i="15" s="1"/>
  <c r="E97" i="15"/>
  <c r="E98" i="15"/>
  <c r="E99" i="15"/>
  <c r="E100" i="15"/>
  <c r="AB100" i="15" s="1"/>
  <c r="E101" i="15"/>
  <c r="E102" i="15"/>
  <c r="W102" i="15" s="1"/>
  <c r="E103" i="15"/>
  <c r="E104" i="15"/>
  <c r="AA104" i="15" s="1"/>
  <c r="E105" i="15"/>
  <c r="E6" i="9"/>
  <c r="H6" i="16"/>
  <c r="H7" i="16"/>
  <c r="H8" i="16"/>
  <c r="H9" i="16"/>
  <c r="V9" i="16" s="1"/>
  <c r="H10" i="16"/>
  <c r="H11" i="16"/>
  <c r="H12" i="16"/>
  <c r="H13" i="16"/>
  <c r="H14" i="16"/>
  <c r="H15" i="16"/>
  <c r="U15" i="16" s="1"/>
  <c r="H16" i="16"/>
  <c r="H17" i="16"/>
  <c r="T17" i="16" s="1"/>
  <c r="H18" i="16"/>
  <c r="H19" i="16"/>
  <c r="H20" i="16"/>
  <c r="H21" i="16"/>
  <c r="H22" i="16"/>
  <c r="H23" i="16"/>
  <c r="H24" i="16"/>
  <c r="H25" i="16"/>
  <c r="U25" i="16" s="1"/>
  <c r="H26" i="16"/>
  <c r="H27" i="16"/>
  <c r="H28" i="16"/>
  <c r="H29" i="16"/>
  <c r="H30" i="16"/>
  <c r="H31" i="16"/>
  <c r="Y31" i="16" s="1"/>
  <c r="H32" i="16"/>
  <c r="H33" i="16"/>
  <c r="V33" i="16" s="1"/>
  <c r="H34" i="16"/>
  <c r="H35" i="16"/>
  <c r="H36" i="16"/>
  <c r="H37" i="16"/>
  <c r="H38" i="16"/>
  <c r="H39" i="16"/>
  <c r="Z39" i="16" s="1"/>
  <c r="H40" i="16"/>
  <c r="X40" i="16" s="1"/>
  <c r="H41" i="16"/>
  <c r="Y41" i="16" s="1"/>
  <c r="H42" i="16"/>
  <c r="H43" i="16"/>
  <c r="V43" i="16" s="1"/>
  <c r="H44" i="16"/>
  <c r="H45" i="16"/>
  <c r="H46" i="16"/>
  <c r="Y46" i="16" s="1"/>
  <c r="H47" i="16"/>
  <c r="T47" i="16" s="1"/>
  <c r="H48" i="16"/>
  <c r="H49" i="16"/>
  <c r="Y49" i="16" s="1"/>
  <c r="H50" i="16"/>
  <c r="T50" i="16" s="1"/>
  <c r="H51" i="16"/>
  <c r="H52" i="16"/>
  <c r="H53" i="16"/>
  <c r="H54" i="16"/>
  <c r="X54" i="16" s="1"/>
  <c r="H55" i="16"/>
  <c r="H56" i="16"/>
  <c r="H57" i="16"/>
  <c r="H58" i="16"/>
  <c r="H59" i="16"/>
  <c r="H60" i="16"/>
  <c r="H61" i="16"/>
  <c r="H62" i="16"/>
  <c r="H63" i="16"/>
  <c r="Z63" i="16" s="1"/>
  <c r="H64" i="16"/>
  <c r="Z64" i="16" s="1"/>
  <c r="H65" i="16"/>
  <c r="T65" i="16" s="1"/>
  <c r="H66" i="16"/>
  <c r="H67" i="16"/>
  <c r="H68" i="16"/>
  <c r="H69" i="16"/>
  <c r="V69" i="16" s="1"/>
  <c r="H70" i="16"/>
  <c r="H71" i="16"/>
  <c r="U71" i="16" s="1"/>
  <c r="H72" i="16"/>
  <c r="H73" i="16"/>
  <c r="X73" i="16" s="1"/>
  <c r="H74" i="16"/>
  <c r="H75" i="16"/>
  <c r="H76" i="16"/>
  <c r="H77" i="16"/>
  <c r="H78" i="16"/>
  <c r="H79" i="16"/>
  <c r="H80" i="16"/>
  <c r="H81" i="16"/>
  <c r="U81" i="16" s="1"/>
  <c r="H82" i="16"/>
  <c r="H83" i="16"/>
  <c r="H84" i="16"/>
  <c r="H85" i="16"/>
  <c r="H86" i="16"/>
  <c r="Y86" i="16" s="1"/>
  <c r="H87" i="16"/>
  <c r="H88" i="16"/>
  <c r="H89" i="16"/>
  <c r="Z89" i="16" s="1"/>
  <c r="H90" i="16"/>
  <c r="H91" i="16"/>
  <c r="H92" i="16"/>
  <c r="H93" i="16"/>
  <c r="H94" i="16"/>
  <c r="Y94" i="16" s="1"/>
  <c r="H95" i="16"/>
  <c r="H96" i="16"/>
  <c r="H97" i="16"/>
  <c r="W97" i="16" s="1"/>
  <c r="H98" i="16"/>
  <c r="H99" i="16"/>
  <c r="H100" i="16"/>
  <c r="H101" i="16"/>
  <c r="H102" i="16"/>
  <c r="H103" i="16"/>
  <c r="W103" i="16" s="1"/>
  <c r="H104" i="16"/>
  <c r="I6" i="15"/>
  <c r="I7" i="15"/>
  <c r="I8" i="15"/>
  <c r="I9" i="15"/>
  <c r="I10" i="15"/>
  <c r="I11" i="15"/>
  <c r="I12" i="15"/>
  <c r="I13" i="15"/>
  <c r="I14" i="15"/>
  <c r="I15" i="15"/>
  <c r="I17" i="15"/>
  <c r="I18" i="15"/>
  <c r="I19" i="15"/>
  <c r="I20" i="15"/>
  <c r="I21" i="15"/>
  <c r="I22" i="15"/>
  <c r="I23" i="15"/>
  <c r="I24" i="15"/>
  <c r="I25" i="15"/>
  <c r="I26" i="15"/>
  <c r="I27" i="15"/>
  <c r="I28" i="15"/>
  <c r="I29" i="15"/>
  <c r="I30" i="15"/>
  <c r="I31" i="15"/>
  <c r="I32" i="15"/>
  <c r="I33" i="15"/>
  <c r="I34" i="15"/>
  <c r="I35" i="15"/>
  <c r="I36" i="15"/>
  <c r="I37" i="15"/>
  <c r="I38" i="15"/>
  <c r="I39" i="15"/>
  <c r="I40" i="15"/>
  <c r="I41" i="15"/>
  <c r="I42" i="15"/>
  <c r="I43" i="15"/>
  <c r="I44" i="15"/>
  <c r="I45" i="15"/>
  <c r="I46" i="15"/>
  <c r="I47" i="15"/>
  <c r="I48" i="15"/>
  <c r="I49" i="15"/>
  <c r="I50" i="15"/>
  <c r="I51" i="15"/>
  <c r="I52" i="15"/>
  <c r="I53" i="15"/>
  <c r="I54" i="15"/>
  <c r="I55" i="15"/>
  <c r="I56" i="15"/>
  <c r="I57" i="15"/>
  <c r="I58" i="15"/>
  <c r="I59" i="15"/>
  <c r="I60" i="15"/>
  <c r="I61" i="15"/>
  <c r="I62" i="15"/>
  <c r="I63" i="15"/>
  <c r="I64" i="15"/>
  <c r="I65" i="15"/>
  <c r="I66" i="15"/>
  <c r="I67" i="15"/>
  <c r="I68" i="15"/>
  <c r="I69" i="15"/>
  <c r="I70" i="15"/>
  <c r="I71" i="15"/>
  <c r="I72" i="15"/>
  <c r="I73" i="15"/>
  <c r="I74" i="15"/>
  <c r="I75" i="15"/>
  <c r="I76" i="15"/>
  <c r="I77" i="15"/>
  <c r="I78" i="15"/>
  <c r="I79" i="15"/>
  <c r="I80" i="15"/>
  <c r="I81" i="15"/>
  <c r="I82" i="15"/>
  <c r="I83" i="15"/>
  <c r="I84" i="15"/>
  <c r="I85" i="15"/>
  <c r="I86" i="15"/>
  <c r="I87" i="15"/>
  <c r="I88" i="15"/>
  <c r="I89" i="15"/>
  <c r="I90" i="15"/>
  <c r="I91" i="15"/>
  <c r="I92" i="15"/>
  <c r="I93" i="15"/>
  <c r="I94" i="15"/>
  <c r="I95" i="15"/>
  <c r="I96" i="15"/>
  <c r="I97" i="15"/>
  <c r="I98" i="15"/>
  <c r="I99" i="15"/>
  <c r="I100" i="15"/>
  <c r="I101" i="15"/>
  <c r="I102" i="15"/>
  <c r="I103" i="15"/>
  <c r="I104" i="15"/>
  <c r="I105" i="15"/>
  <c r="E19" i="16"/>
  <c r="E20" i="16"/>
  <c r="E21" i="16"/>
  <c r="E22" i="16"/>
  <c r="E23" i="16"/>
  <c r="E24" i="16"/>
  <c r="E25" i="16"/>
  <c r="E26" i="16"/>
  <c r="E27" i="16"/>
  <c r="E28" i="16"/>
  <c r="E29" i="16"/>
  <c r="E30" i="16"/>
  <c r="E31" i="16"/>
  <c r="E32" i="16"/>
  <c r="E33" i="16"/>
  <c r="E34" i="16"/>
  <c r="E35" i="16"/>
  <c r="E36" i="16"/>
  <c r="E37" i="16"/>
  <c r="E38" i="16"/>
  <c r="E39" i="16"/>
  <c r="E40" i="16"/>
  <c r="E41" i="16"/>
  <c r="E42" i="16"/>
  <c r="E43" i="16"/>
  <c r="E44" i="16"/>
  <c r="E45" i="16"/>
  <c r="E46" i="16"/>
  <c r="E47" i="16"/>
  <c r="E48" i="16"/>
  <c r="E49" i="16"/>
  <c r="E50" i="16"/>
  <c r="E51" i="16"/>
  <c r="E52" i="16"/>
  <c r="E53" i="16"/>
  <c r="E55" i="16"/>
  <c r="E56" i="16"/>
  <c r="E57" i="16"/>
  <c r="E58" i="16"/>
  <c r="E59" i="16"/>
  <c r="E60" i="16"/>
  <c r="E61" i="16"/>
  <c r="E62" i="16"/>
  <c r="E63" i="16"/>
  <c r="E64" i="16"/>
  <c r="E65" i="16"/>
  <c r="E66" i="16"/>
  <c r="E67" i="16"/>
  <c r="E68" i="16"/>
  <c r="E69" i="16"/>
  <c r="E70" i="16"/>
  <c r="E71" i="16"/>
  <c r="E72" i="16"/>
  <c r="E73" i="16"/>
  <c r="E74" i="16"/>
  <c r="E75" i="16"/>
  <c r="E76" i="16"/>
  <c r="E77" i="16"/>
  <c r="E78" i="16"/>
  <c r="E79" i="16"/>
  <c r="E80" i="16"/>
  <c r="E81" i="16"/>
  <c r="E82" i="16"/>
  <c r="E83" i="16"/>
  <c r="E84" i="16"/>
  <c r="E85" i="16"/>
  <c r="E86" i="16"/>
  <c r="E87" i="16"/>
  <c r="E88" i="16"/>
  <c r="E89" i="16"/>
  <c r="E90" i="16"/>
  <c r="E91" i="16"/>
  <c r="E92" i="16"/>
  <c r="E93" i="16"/>
  <c r="E94" i="16"/>
  <c r="E95" i="16"/>
  <c r="E96" i="16"/>
  <c r="E97" i="16"/>
  <c r="E98" i="16"/>
  <c r="E99" i="16"/>
  <c r="E100" i="16"/>
  <c r="E101" i="16"/>
  <c r="E102" i="16"/>
  <c r="E103" i="16"/>
  <c r="E104" i="16"/>
  <c r="AC37" i="15"/>
  <c r="AC35" i="15"/>
  <c r="AC24" i="15"/>
  <c r="AD24" i="15" s="1"/>
  <c r="AF24" i="15" s="1"/>
  <c r="AC90" i="15"/>
  <c r="AC42" i="15"/>
  <c r="X20" i="15"/>
  <c r="AC78" i="15"/>
  <c r="AC53" i="15"/>
  <c r="AD53" i="15" s="1"/>
  <c r="AF53" i="15" s="1"/>
  <c r="AC51" i="15"/>
  <c r="AC18" i="15"/>
  <c r="AC104" i="15"/>
  <c r="W100" i="15"/>
  <c r="AA58" i="15"/>
  <c r="AB19" i="15"/>
  <c r="AC20" i="15"/>
  <c r="AD20" i="15" s="1"/>
  <c r="AF20" i="15" s="1"/>
  <c r="AA89" i="15"/>
  <c r="AC19" i="15"/>
  <c r="AD19" i="15" s="1"/>
  <c r="AF19" i="15" s="1"/>
  <c r="Y75" i="15"/>
  <c r="AC40" i="15"/>
  <c r="Y79" i="15"/>
  <c r="AC71" i="15"/>
  <c r="AD71" i="15" s="1"/>
  <c r="AF71" i="15" s="1"/>
  <c r="AC15" i="15"/>
  <c r="AD15" i="15" s="1"/>
  <c r="AF15" i="15" s="1"/>
  <c r="Z49" i="15"/>
  <c r="AC102" i="15"/>
  <c r="AD102" i="15" s="1"/>
  <c r="AF102" i="15" s="1"/>
  <c r="AC54" i="15"/>
  <c r="AC38" i="15"/>
  <c r="AC22" i="15"/>
  <c r="Z79" i="7"/>
  <c r="X77" i="7"/>
  <c r="AB47" i="7"/>
  <c r="AC47" i="7" s="1"/>
  <c r="AE47" i="7" s="1"/>
  <c r="AF47" i="7" s="1"/>
  <c r="W43" i="16"/>
  <c r="AC33" i="16"/>
  <c r="Z48" i="7"/>
  <c r="Z38" i="7"/>
  <c r="W48" i="7"/>
  <c r="X86" i="16"/>
  <c r="AA46" i="16"/>
  <c r="AB46" i="16" s="1"/>
  <c r="AD46" i="16" s="1"/>
  <c r="AE22" i="15"/>
  <c r="AE18" i="15"/>
  <c r="AB84" i="7"/>
  <c r="AC84" i="7" s="1"/>
  <c r="AE84" i="7" s="1"/>
  <c r="AF84" i="7" s="1"/>
  <c r="AB80" i="7"/>
  <c r="AC80" i="7" s="1"/>
  <c r="AE80" i="7" s="1"/>
  <c r="AF80" i="7" s="1"/>
  <c r="Y42" i="16"/>
  <c r="V58" i="16"/>
  <c r="Z6" i="9"/>
  <c r="AE81" i="15"/>
  <c r="Z73" i="15"/>
  <c r="T58" i="16"/>
  <c r="AD69" i="7"/>
  <c r="AD65" i="7"/>
  <c r="AB61" i="7"/>
  <c r="Z30" i="7"/>
  <c r="S30" i="7" s="1"/>
  <c r="Y92" i="16"/>
  <c r="AA59" i="16"/>
  <c r="AB59" i="16" s="1"/>
  <c r="AD59" i="16" s="1"/>
  <c r="AC24" i="16"/>
  <c r="AE103" i="15"/>
  <c r="W81" i="15"/>
  <c r="AB77" i="7"/>
  <c r="AC77" i="7" s="1"/>
  <c r="AE77" i="7" s="1"/>
  <c r="AF77" i="7" s="1"/>
  <c r="AB39" i="7"/>
  <c r="AC39" i="7" s="1"/>
  <c r="AE39" i="7" s="1"/>
  <c r="AF39" i="7" s="1"/>
  <c r="AD36" i="7"/>
  <c r="Y30" i="7"/>
  <c r="AD6" i="7"/>
  <c r="AC25" i="16"/>
  <c r="AA24" i="16"/>
  <c r="Y75" i="9"/>
  <c r="AE41" i="9"/>
  <c r="AA41" i="15"/>
  <c r="AB101" i="7"/>
  <c r="AC101" i="7" s="1"/>
  <c r="AE101" i="7" s="1"/>
  <c r="AF101" i="7" s="1"/>
  <c r="X30" i="7"/>
  <c r="AB11" i="7"/>
  <c r="AC11" i="7" s="1"/>
  <c r="AE11" i="7" s="1"/>
  <c r="AF11" i="7" s="1"/>
  <c r="Z6" i="7"/>
  <c r="Y85" i="16"/>
  <c r="AA25" i="16"/>
  <c r="AB25" i="16" s="1"/>
  <c r="AD25" i="16" s="1"/>
  <c r="AE69" i="15"/>
  <c r="Z41" i="15"/>
  <c r="W30" i="7"/>
  <c r="W85" i="16"/>
  <c r="AC22" i="16"/>
  <c r="AB67" i="15"/>
  <c r="AD42" i="7"/>
  <c r="V40" i="7"/>
  <c r="V30" i="7"/>
  <c r="V85" i="16"/>
  <c r="X53" i="16"/>
  <c r="AC40" i="16"/>
  <c r="W25" i="16"/>
  <c r="AE60" i="9"/>
  <c r="AE20" i="9"/>
  <c r="V69" i="15"/>
  <c r="AD48" i="7"/>
  <c r="AA47" i="7"/>
  <c r="V42" i="7"/>
  <c r="AB7" i="7"/>
  <c r="AA73" i="16"/>
  <c r="AB73" i="16" s="1"/>
  <c r="AD73" i="16" s="1"/>
  <c r="AE73" i="16" s="1"/>
  <c r="X58" i="16"/>
  <c r="AA54" i="16"/>
  <c r="AB54" i="16" s="1"/>
  <c r="AD54" i="16" s="1"/>
  <c r="AE102" i="9"/>
  <c r="AB63" i="9"/>
  <c r="AB60" i="9"/>
  <c r="AB81" i="15"/>
  <c r="AE79" i="15"/>
  <c r="Y47" i="7"/>
  <c r="AB17" i="7"/>
  <c r="Z100" i="16"/>
  <c r="AB102" i="9"/>
  <c r="Z63" i="9"/>
  <c r="AA81" i="15"/>
  <c r="AB69" i="7"/>
  <c r="AC69" i="7" s="1"/>
  <c r="AE69" i="7" s="1"/>
  <c r="AF69" i="7" s="1"/>
  <c r="U48" i="7"/>
  <c r="X42" i="7"/>
  <c r="X39" i="7"/>
  <c r="U30" i="7"/>
  <c r="Z28" i="7"/>
  <c r="X11" i="7"/>
  <c r="Z92" i="16"/>
  <c r="AA70" i="16"/>
  <c r="AB70" i="16" s="1"/>
  <c r="AD70" i="16" s="1"/>
  <c r="X60" i="16"/>
  <c r="W54" i="16"/>
  <c r="X46" i="16"/>
  <c r="X43" i="16"/>
  <c r="W37" i="16"/>
  <c r="AC31" i="16"/>
  <c r="AC8" i="16"/>
  <c r="V102" i="9"/>
  <c r="V77" i="9"/>
  <c r="Y63" i="9"/>
  <c r="AE42" i="9"/>
  <c r="AA41" i="9"/>
  <c r="V6" i="9"/>
  <c r="Z89" i="15"/>
  <c r="W79" i="15"/>
  <c r="W55" i="15"/>
  <c r="Y33" i="15"/>
  <c r="Z99" i="7"/>
  <c r="Y70" i="16"/>
  <c r="W46" i="16"/>
  <c r="AA31" i="16"/>
  <c r="AB31" i="16" s="1"/>
  <c r="AD31" i="16" s="1"/>
  <c r="AE31" i="16" s="1"/>
  <c r="U28" i="16"/>
  <c r="AA71" i="9"/>
  <c r="AE95" i="15"/>
  <c r="AE90" i="15"/>
  <c r="W89" i="15"/>
  <c r="AA71" i="15"/>
  <c r="W7" i="15"/>
  <c r="Y99" i="7"/>
  <c r="Y91" i="7"/>
  <c r="AB70" i="7"/>
  <c r="AC70" i="7" s="1"/>
  <c r="AE70" i="7" s="1"/>
  <c r="AF70" i="7" s="1"/>
  <c r="Y69" i="7"/>
  <c r="AB43" i="7"/>
  <c r="AC43" i="7" s="1"/>
  <c r="AE43" i="7" s="1"/>
  <c r="AF43" i="7" s="1"/>
  <c r="X70" i="16"/>
  <c r="Z68" i="16"/>
  <c r="V60" i="16"/>
  <c r="AC55" i="16"/>
  <c r="AC47" i="16"/>
  <c r="V46" i="16"/>
  <c r="X38" i="16"/>
  <c r="AB93" i="9"/>
  <c r="AA81" i="9"/>
  <c r="AB78" i="9"/>
  <c r="AE38" i="15"/>
  <c r="Y20" i="15"/>
  <c r="AA72" i="7"/>
  <c r="X69" i="7"/>
  <c r="W70" i="16"/>
  <c r="T60" i="16"/>
  <c r="AA58" i="16"/>
  <c r="AB58" i="16" s="1"/>
  <c r="AD58" i="16" s="1"/>
  <c r="AB17" i="9"/>
  <c r="V99" i="7"/>
  <c r="AE56" i="15"/>
  <c r="AE33" i="15"/>
  <c r="AE30" i="9"/>
  <c r="Z52" i="7"/>
  <c r="AA88" i="16"/>
  <c r="Z76" i="16"/>
  <c r="V76" i="16"/>
  <c r="AA76" i="16"/>
  <c r="AB76" i="16" s="1"/>
  <c r="AD76" i="16" s="1"/>
  <c r="T76" i="16"/>
  <c r="R76" i="16" s="1"/>
  <c r="U76" i="16"/>
  <c r="U91" i="7"/>
  <c r="V80" i="7"/>
  <c r="Z77" i="7"/>
  <c r="AB73" i="7"/>
  <c r="X72" i="7"/>
  <c r="AD61" i="7"/>
  <c r="Y52" i="7"/>
  <c r="AD28" i="7"/>
  <c r="W24" i="7"/>
  <c r="Y18" i="7"/>
  <c r="AD10" i="7"/>
  <c r="AC65" i="16"/>
  <c r="Y103" i="7"/>
  <c r="W101" i="7"/>
  <c r="Y82" i="7"/>
  <c r="W81" i="7"/>
  <c r="Y77" i="7"/>
  <c r="Z70" i="7"/>
  <c r="X52" i="7"/>
  <c r="AB45" i="7"/>
  <c r="AB28" i="7"/>
  <c r="AC28" i="7" s="1"/>
  <c r="AE28" i="7" s="1"/>
  <c r="AF28" i="7" s="1"/>
  <c r="Z22" i="7"/>
  <c r="AD14" i="7"/>
  <c r="AC89" i="16"/>
  <c r="AC76" i="16"/>
  <c r="AC69" i="16"/>
  <c r="AA68" i="16"/>
  <c r="AB68" i="16" s="1"/>
  <c r="AD68" i="16" s="1"/>
  <c r="Y68" i="16"/>
  <c r="U68" i="16"/>
  <c r="W68" i="16"/>
  <c r="X68" i="16"/>
  <c r="AA48" i="16"/>
  <c r="AC39" i="16"/>
  <c r="AA39" i="16"/>
  <c r="AB39" i="16" s="1"/>
  <c r="AD39" i="16" s="1"/>
  <c r="AE39" i="16" s="1"/>
  <c r="W52" i="7"/>
  <c r="Z14" i="7"/>
  <c r="X101" i="16"/>
  <c r="Y76" i="16"/>
  <c r="AA63" i="16"/>
  <c r="AB63" i="16"/>
  <c r="AD63" i="16" s="1"/>
  <c r="W63" i="16"/>
  <c r="X95" i="7"/>
  <c r="Z89" i="7"/>
  <c r="V85" i="7"/>
  <c r="AA68" i="7"/>
  <c r="AB65" i="7"/>
  <c r="AC65" i="7" s="1"/>
  <c r="AE65" i="7" s="1"/>
  <c r="AF65" i="7" s="1"/>
  <c r="Y61" i="7"/>
  <c r="V52" i="7"/>
  <c r="AD46" i="7"/>
  <c r="V44" i="7"/>
  <c r="V34" i="7"/>
  <c r="U22" i="7"/>
  <c r="AB16" i="7"/>
  <c r="AC16" i="7" s="1"/>
  <c r="AE16" i="7" s="1"/>
  <c r="AF16" i="7" s="1"/>
  <c r="X14" i="7"/>
  <c r="AA6" i="7"/>
  <c r="V6" i="7"/>
  <c r="W101" i="16"/>
  <c r="X76" i="16"/>
  <c r="U62" i="16"/>
  <c r="AD101" i="7"/>
  <c r="U95" i="7"/>
  <c r="X89" i="7"/>
  <c r="AA65" i="7"/>
  <c r="W64" i="7"/>
  <c r="AD56" i="7"/>
  <c r="U52" i="7"/>
  <c r="U18" i="7"/>
  <c r="W76" i="16"/>
  <c r="AA103" i="7"/>
  <c r="AA14" i="7"/>
  <c r="W14" i="7"/>
  <c r="S14" i="7" s="1"/>
  <c r="AD85" i="7"/>
  <c r="AD52" i="7"/>
  <c r="T78" i="16"/>
  <c r="AA78" i="16"/>
  <c r="AB78" i="16" s="1"/>
  <c r="AD78" i="16" s="1"/>
  <c r="V78" i="16"/>
  <c r="X78" i="16"/>
  <c r="Z78" i="16"/>
  <c r="Z101" i="16"/>
  <c r="Y101" i="16"/>
  <c r="V89" i="7"/>
  <c r="AB72" i="7"/>
  <c r="AC72" i="7" s="1"/>
  <c r="AE72" i="7"/>
  <c r="AF72" i="7" s="1"/>
  <c r="AB52" i="7"/>
  <c r="AC52" i="7" s="1"/>
  <c r="AE52" i="7" s="1"/>
  <c r="AF52" i="7" s="1"/>
  <c r="AA40" i="7"/>
  <c r="AC73" i="16"/>
  <c r="AC30" i="16"/>
  <c r="AE91" i="9"/>
  <c r="AE88" i="9"/>
  <c r="V27" i="9"/>
  <c r="AB19" i="9"/>
  <c r="X75" i="15"/>
  <c r="AB73" i="15"/>
  <c r="W49" i="15"/>
  <c r="AE46" i="15"/>
  <c r="AA39" i="15"/>
  <c r="AE24" i="15"/>
  <c r="Z34" i="16"/>
  <c r="X30" i="16"/>
  <c r="V95" i="9"/>
  <c r="AE92" i="9"/>
  <c r="V103" i="15"/>
  <c r="X95" i="15"/>
  <c r="AB89" i="15"/>
  <c r="W83" i="15"/>
  <c r="AA73" i="15"/>
  <c r="Z50" i="15"/>
  <c r="AA46" i="15"/>
  <c r="AE34" i="15"/>
  <c r="AA19" i="15"/>
  <c r="AA17" i="15"/>
  <c r="AC16" i="16"/>
  <c r="Y13" i="9"/>
  <c r="Z34" i="15"/>
  <c r="X85" i="16"/>
  <c r="Z70" i="16"/>
  <c r="Z54" i="16"/>
  <c r="Z46" i="16"/>
  <c r="Z42" i="16"/>
  <c r="AA16" i="16"/>
  <c r="Y92" i="9"/>
  <c r="AE76" i="15"/>
  <c r="AE38" i="9"/>
  <c r="AB6" i="9"/>
  <c r="W43" i="9"/>
  <c r="AE26" i="9"/>
  <c r="Z72" i="9"/>
  <c r="AA82" i="16"/>
  <c r="AB82" i="16" s="1"/>
  <c r="AD82" i="16" s="1"/>
  <c r="U60" i="16"/>
  <c r="T54" i="16"/>
  <c r="U38" i="16"/>
  <c r="W33" i="16"/>
  <c r="Y61" i="9"/>
  <c r="AE19" i="9"/>
  <c r="Y71" i="15"/>
  <c r="AE53" i="15"/>
  <c r="Y49" i="15"/>
  <c r="AA27" i="15"/>
  <c r="Z93" i="16"/>
  <c r="V93" i="16"/>
  <c r="W93" i="16"/>
  <c r="Y93" i="16"/>
  <c r="X93" i="16"/>
  <c r="AB50" i="7"/>
  <c r="AC50" i="7" s="1"/>
  <c r="AE50" i="7" s="1"/>
  <c r="AF50" i="7" s="1"/>
  <c r="U50" i="7"/>
  <c r="Y50" i="7"/>
  <c r="Z50" i="7"/>
  <c r="AD50" i="7"/>
  <c r="V77" i="16"/>
  <c r="T77" i="16"/>
  <c r="U77" i="16"/>
  <c r="X77" i="16"/>
  <c r="Y77" i="16"/>
  <c r="Z77" i="16"/>
  <c r="AC77" i="16"/>
  <c r="Z71" i="7"/>
  <c r="AB46" i="7"/>
  <c r="AC46" i="7" s="1"/>
  <c r="AE46" i="7" s="1"/>
  <c r="AF46" i="7" s="1"/>
  <c r="U46" i="7"/>
  <c r="V46" i="7"/>
  <c r="Y46" i="7"/>
  <c r="AA46" i="7"/>
  <c r="W83" i="7"/>
  <c r="Y83" i="7"/>
  <c r="Z83" i="7"/>
  <c r="AD83" i="7"/>
  <c r="U83" i="7"/>
  <c r="V83" i="7"/>
  <c r="U100" i="7"/>
  <c r="AB100" i="7"/>
  <c r="AC100" i="7" s="1"/>
  <c r="AE100" i="7" s="1"/>
  <c r="AF100" i="7" s="1"/>
  <c r="X100" i="7"/>
  <c r="AA100" i="7"/>
  <c r="AA83" i="16"/>
  <c r="AB83" i="16" s="1"/>
  <c r="AD83" i="16" s="1"/>
  <c r="U7" i="16"/>
  <c r="AE104" i="15"/>
  <c r="AC27" i="16"/>
  <c r="W86" i="9"/>
  <c r="AB86" i="9"/>
  <c r="AE86" i="9"/>
  <c r="V86" i="9"/>
  <c r="Z86" i="9"/>
  <c r="Y86" i="9"/>
  <c r="AA86" i="9"/>
  <c r="U57" i="7"/>
  <c r="X57" i="7"/>
  <c r="AD57" i="7"/>
  <c r="AA50" i="7"/>
  <c r="AA77" i="16"/>
  <c r="AB77" i="16" s="1"/>
  <c r="AD77" i="16" s="1"/>
  <c r="AE77" i="16" s="1"/>
  <c r="AA78" i="7"/>
  <c r="U98" i="16"/>
  <c r="W98" i="16"/>
  <c r="T66" i="16"/>
  <c r="AC66" i="16"/>
  <c r="AA49" i="7"/>
  <c r="X25" i="7"/>
  <c r="AB25" i="7"/>
  <c r="AC25" i="7" s="1"/>
  <c r="AE25" i="7" s="1"/>
  <c r="AF25" i="7" s="1"/>
  <c r="W25" i="7"/>
  <c r="V61" i="16"/>
  <c r="T61" i="16"/>
  <c r="U61" i="16"/>
  <c r="W61" i="16"/>
  <c r="Y61" i="16"/>
  <c r="R61" i="16" s="1"/>
  <c r="Z61" i="16"/>
  <c r="AC61" i="16"/>
  <c r="V10" i="9"/>
  <c r="Z10" i="9"/>
  <c r="AE47" i="15"/>
  <c r="Y73" i="7"/>
  <c r="AA92" i="7"/>
  <c r="AA88" i="7"/>
  <c r="AA84" i="7"/>
  <c r="U82" i="7"/>
  <c r="X73" i="7"/>
  <c r="Y48" i="7"/>
  <c r="Z42" i="7"/>
  <c r="U34" i="7"/>
  <c r="Y22" i="7"/>
  <c r="X17" i="7"/>
  <c r="U6" i="7"/>
  <c r="X94" i="16"/>
  <c r="Y84" i="16"/>
  <c r="T69" i="16"/>
  <c r="U65" i="16"/>
  <c r="T59" i="16"/>
  <c r="AC56" i="16"/>
  <c r="U55" i="16"/>
  <c r="W38" i="16"/>
  <c r="AA30" i="16"/>
  <c r="AB30" i="16" s="1"/>
  <c r="AD30" i="16" s="1"/>
  <c r="AE30" i="16" s="1"/>
  <c r="W65" i="9"/>
  <c r="V65" i="9"/>
  <c r="AE65" i="9"/>
  <c r="V36" i="9"/>
  <c r="AE36" i="9"/>
  <c r="AB92" i="7"/>
  <c r="AC92" i="7" s="1"/>
  <c r="AE92" i="7" s="1"/>
  <c r="AF92" i="7" s="1"/>
  <c r="X92" i="7"/>
  <c r="X84" i="7"/>
  <c r="AD79" i="7"/>
  <c r="W73" i="7"/>
  <c r="AD72" i="7"/>
  <c r="X48" i="7"/>
  <c r="AD47" i="7"/>
  <c r="Y42" i="7"/>
  <c r="X22" i="7"/>
  <c r="X20" i="7"/>
  <c r="Y14" i="7"/>
  <c r="W84" i="16"/>
  <c r="AA81" i="16"/>
  <c r="Y78" i="16"/>
  <c r="AA56" i="16"/>
  <c r="V38" i="16"/>
  <c r="Z30" i="16"/>
  <c r="Y23" i="16"/>
  <c r="Z23" i="16"/>
  <c r="X22" i="16"/>
  <c r="AE44" i="15"/>
  <c r="AA80" i="7"/>
  <c r="AD73" i="7"/>
  <c r="AD64" i="7"/>
  <c r="V48" i="7"/>
  <c r="W42" i="7"/>
  <c r="V22" i="7"/>
  <c r="V20" i="7"/>
  <c r="AA89" i="16"/>
  <c r="X81" i="16"/>
  <c r="AA69" i="16"/>
  <c r="AB69" i="16" s="1"/>
  <c r="AD69" i="16" s="1"/>
  <c r="T38" i="16"/>
  <c r="W30" i="16"/>
  <c r="AE101" i="9"/>
  <c r="W101" i="9"/>
  <c r="AA87" i="15"/>
  <c r="W66" i="15"/>
  <c r="AE66" i="15"/>
  <c r="X51" i="15"/>
  <c r="AE51" i="15"/>
  <c r="U46" i="16"/>
  <c r="AC38" i="16"/>
  <c r="U37" i="16"/>
  <c r="Z22" i="16"/>
  <c r="AA21" i="16"/>
  <c r="AB21" i="16" s="1"/>
  <c r="AD21" i="16" s="1"/>
  <c r="AC21" i="16"/>
  <c r="AE105" i="9"/>
  <c r="W94" i="9"/>
  <c r="V94" i="9"/>
  <c r="Y94" i="9"/>
  <c r="AB94" i="9"/>
  <c r="AE74" i="9"/>
  <c r="W74" i="9"/>
  <c r="AB74" i="9"/>
  <c r="V105" i="15"/>
  <c r="Z69" i="16"/>
  <c r="AD95" i="7"/>
  <c r="AD91" i="7"/>
  <c r="U80" i="7"/>
  <c r="V77" i="7"/>
  <c r="AA73" i="7"/>
  <c r="W72" i="7"/>
  <c r="V69" i="7"/>
  <c r="V65" i="7"/>
  <c r="V64" i="7"/>
  <c r="AA62" i="7"/>
  <c r="AA61" i="7"/>
  <c r="X59" i="7"/>
  <c r="W56" i="7"/>
  <c r="AB48" i="7"/>
  <c r="AC48" i="7" s="1"/>
  <c r="AE48" i="7" s="1"/>
  <c r="AF48" i="7" s="1"/>
  <c r="V47" i="7"/>
  <c r="AA45" i="7"/>
  <c r="U42" i="7"/>
  <c r="AD40" i="7"/>
  <c r="X38" i="7"/>
  <c r="AB33" i="7"/>
  <c r="AC33" i="7" s="1"/>
  <c r="AE33" i="7" s="1"/>
  <c r="AF33" i="7" s="1"/>
  <c r="AD30" i="7"/>
  <c r="AB24" i="7"/>
  <c r="AB20" i="7"/>
  <c r="AC20" i="7" s="1"/>
  <c r="AE20" i="7" s="1"/>
  <c r="AF20" i="7" s="1"/>
  <c r="U14" i="7"/>
  <c r="AD12" i="7"/>
  <c r="U12" i="7"/>
  <c r="X6" i="7"/>
  <c r="W92" i="16"/>
  <c r="AC88" i="16"/>
  <c r="W82" i="16"/>
  <c r="V70" i="16"/>
  <c r="Y69" i="16"/>
  <c r="AC68" i="16"/>
  <c r="T68" i="16"/>
  <c r="AA55" i="16"/>
  <c r="AB55" i="16" s="1"/>
  <c r="AD55" i="16" s="1"/>
  <c r="AE55" i="16" s="1"/>
  <c r="AC54" i="16"/>
  <c r="AC48" i="16"/>
  <c r="T46" i="16"/>
  <c r="AA38" i="16"/>
  <c r="AB38" i="16" s="1"/>
  <c r="AD38" i="16" s="1"/>
  <c r="AA33" i="16"/>
  <c r="AC32" i="16"/>
  <c r="U29" i="16"/>
  <c r="AC20" i="16"/>
  <c r="AA17" i="16"/>
  <c r="AC17" i="16"/>
  <c r="V15" i="16"/>
  <c r="Y15" i="16"/>
  <c r="AC15" i="16"/>
  <c r="AA10" i="16"/>
  <c r="W10" i="16"/>
  <c r="Z10" i="16"/>
  <c r="W71" i="9"/>
  <c r="V71" i="9"/>
  <c r="Y71" i="9"/>
  <c r="AB71" i="9"/>
  <c r="AE71" i="9"/>
  <c r="W59" i="9"/>
  <c r="Z87" i="15"/>
  <c r="AE77" i="15"/>
  <c r="W76" i="9"/>
  <c r="Z82" i="7"/>
  <c r="AD77" i="7"/>
  <c r="U69" i="7"/>
  <c r="U68" i="7"/>
  <c r="U65" i="7"/>
  <c r="W59" i="7"/>
  <c r="V56" i="7"/>
  <c r="U47" i="7"/>
  <c r="W38" i="7"/>
  <c r="AD22" i="7"/>
  <c r="U10" i="7"/>
  <c r="W6" i="7"/>
  <c r="AA97" i="16"/>
  <c r="T70" i="16"/>
  <c r="W69" i="16"/>
  <c r="Z55" i="16"/>
  <c r="AC46" i="16"/>
  <c r="Z38" i="16"/>
  <c r="AA32" i="16"/>
  <c r="T22" i="16"/>
  <c r="AE94" i="9"/>
  <c r="V11" i="9"/>
  <c r="AE11" i="9"/>
  <c r="W89" i="16"/>
  <c r="U69" i="16"/>
  <c r="W55" i="16"/>
  <c r="Y30" i="16"/>
  <c r="U30" i="16"/>
  <c r="V30" i="16"/>
  <c r="U19" i="16"/>
  <c r="AA19" i="16"/>
  <c r="AB19" i="16"/>
  <c r="AD19" i="16" s="1"/>
  <c r="AA94" i="9"/>
  <c r="W91" i="9"/>
  <c r="Z91" i="9"/>
  <c r="W49" i="9"/>
  <c r="AE49" i="9"/>
  <c r="AE32" i="15"/>
  <c r="Z32" i="15"/>
  <c r="AE78" i="9"/>
  <c r="W78" i="9"/>
  <c r="W73" i="9"/>
  <c r="V67" i="9"/>
  <c r="W58" i="9"/>
  <c r="W54" i="9"/>
  <c r="W24" i="9"/>
  <c r="Y22" i="9"/>
  <c r="W22" i="9"/>
  <c r="V61" i="9"/>
  <c r="Z57" i="9"/>
  <c r="AA49" i="9"/>
  <c r="W52" i="9"/>
  <c r="AB98" i="9"/>
  <c r="W98" i="9"/>
  <c r="Z79" i="9"/>
  <c r="W79" i="9"/>
  <c r="V63" i="9"/>
  <c r="W63" i="9"/>
  <c r="AE54" i="9"/>
  <c r="W26" i="9"/>
  <c r="Z22" i="9"/>
  <c r="AA19" i="9"/>
  <c r="V17" i="9"/>
  <c r="W17" i="9"/>
  <c r="Y14" i="9"/>
  <c r="W14" i="9"/>
  <c r="W103" i="15"/>
  <c r="AA85" i="15"/>
  <c r="V79" i="15"/>
  <c r="X74" i="15"/>
  <c r="X73" i="15"/>
  <c r="V73" i="15"/>
  <c r="AE64" i="15"/>
  <c r="W25" i="15"/>
  <c r="W83" i="9"/>
  <c r="W51" i="9"/>
  <c r="W19" i="9"/>
  <c r="W103" i="9"/>
  <c r="Y78" i="9"/>
  <c r="V54" i="9"/>
  <c r="AA53" i="9"/>
  <c r="W53" i="9"/>
  <c r="AE47" i="9"/>
  <c r="W47" i="9"/>
  <c r="V25" i="9"/>
  <c r="V9" i="9"/>
  <c r="W9" i="9"/>
  <c r="Z71" i="15"/>
  <c r="Y67" i="15"/>
  <c r="V67" i="15"/>
  <c r="W67" i="15"/>
  <c r="W42" i="15"/>
  <c r="X42" i="15"/>
  <c r="Z42" i="15"/>
  <c r="AE42" i="15"/>
  <c r="AE40" i="15"/>
  <c r="W40" i="15"/>
  <c r="AA9" i="16"/>
  <c r="W90" i="9"/>
  <c r="AA83" i="9"/>
  <c r="AE81" i="9"/>
  <c r="W81" i="9"/>
  <c r="V79" i="9"/>
  <c r="AB69" i="9"/>
  <c r="W69" i="9"/>
  <c r="W57" i="9"/>
  <c r="Z50" i="9"/>
  <c r="W50" i="9"/>
  <c r="V41" i="9"/>
  <c r="W41" i="9"/>
  <c r="V26" i="9"/>
  <c r="W23" i="9"/>
  <c r="AA9" i="9"/>
  <c r="AA103" i="15"/>
  <c r="X100" i="15"/>
  <c r="Y95" i="15"/>
  <c r="Z93" i="15"/>
  <c r="V89" i="15"/>
  <c r="X85" i="15"/>
  <c r="V81" i="15"/>
  <c r="Z79" i="15"/>
  <c r="X76" i="15"/>
  <c r="Y76" i="15"/>
  <c r="W73" i="15"/>
  <c r="X71" i="15"/>
  <c r="AE62" i="15"/>
  <c r="Z10" i="15"/>
  <c r="W99" i="9"/>
  <c r="W67" i="9"/>
  <c r="AA11" i="16"/>
  <c r="AB11" i="16" s="1"/>
  <c r="AD11" i="16" s="1"/>
  <c r="Y102" i="9"/>
  <c r="W102" i="9"/>
  <c r="AA75" i="9"/>
  <c r="AE68" i="9"/>
  <c r="W62" i="9"/>
  <c r="AE22" i="9"/>
  <c r="W15" i="9"/>
  <c r="Y6" i="9"/>
  <c r="W6" i="9"/>
  <c r="AE98" i="15"/>
  <c r="AE54" i="15"/>
  <c r="AA28" i="15"/>
  <c r="AE28" i="15"/>
  <c r="Z95" i="9"/>
  <c r="W95" i="9"/>
  <c r="AA77" i="9"/>
  <c r="W77" i="9"/>
  <c r="AE72" i="9"/>
  <c r="AE61" i="9"/>
  <c r="Y50" i="9"/>
  <c r="Z41" i="9"/>
  <c r="W30" i="9"/>
  <c r="AE18" i="9"/>
  <c r="AE17" i="9"/>
  <c r="AE14" i="9"/>
  <c r="Y9" i="9"/>
  <c r="AA6" i="9"/>
  <c r="Y103" i="15"/>
  <c r="AE102" i="15"/>
  <c r="W95" i="15"/>
  <c r="AB92" i="15"/>
  <c r="X79" i="15"/>
  <c r="V71" i="15"/>
  <c r="V17" i="15"/>
  <c r="AE17" i="15"/>
  <c r="W17" i="15"/>
  <c r="Y17" i="15"/>
  <c r="Z17" i="15"/>
  <c r="V52" i="15"/>
  <c r="V36" i="15"/>
  <c r="W26" i="15"/>
  <c r="V20" i="15"/>
  <c r="Z53" i="15"/>
  <c r="AE52" i="15"/>
  <c r="AE37" i="15"/>
  <c r="AE36" i="15"/>
  <c r="Y21" i="15"/>
  <c r="AE20" i="15"/>
  <c r="AE8" i="15"/>
  <c r="Y53" i="15"/>
  <c r="AB52" i="15"/>
  <c r="Y37" i="15"/>
  <c r="AB36" i="15"/>
  <c r="W21" i="15"/>
  <c r="AB20" i="15"/>
  <c r="Z9" i="15"/>
  <c r="W53" i="15"/>
  <c r="AA52" i="15"/>
  <c r="V37" i="15"/>
  <c r="AA36" i="15"/>
  <c r="V21" i="15"/>
  <c r="AA20" i="15"/>
  <c r="AE15" i="15"/>
  <c r="W60" i="15"/>
  <c r="AB55" i="15"/>
  <c r="Z52" i="15"/>
  <c r="Z36" i="15"/>
  <c r="Z20" i="15"/>
  <c r="AA100" i="15"/>
  <c r="W96" i="15"/>
  <c r="AA50" i="15"/>
  <c r="Y50" i="15"/>
  <c r="V50" i="15"/>
  <c r="W50" i="15"/>
  <c r="X50" i="15"/>
  <c r="AB50" i="15"/>
  <c r="AE50" i="15"/>
  <c r="AE35" i="15"/>
  <c r="Z100" i="15"/>
  <c r="AE96" i="15"/>
  <c r="AA93" i="15"/>
  <c r="AA90" i="15"/>
  <c r="Y100" i="15"/>
  <c r="X89" i="15"/>
  <c r="Y89" i="15"/>
  <c r="AB85" i="15"/>
  <c r="AB93" i="15"/>
  <c r="AE100" i="15"/>
  <c r="V100" i="15"/>
  <c r="X93" i="15"/>
  <c r="AA91" i="15"/>
  <c r="AE89" i="15"/>
  <c r="W85" i="15"/>
  <c r="AA77" i="15"/>
  <c r="AB77" i="15"/>
  <c r="Y77" i="15"/>
  <c r="AA69" i="15"/>
  <c r="AB69" i="15"/>
  <c r="Y69" i="15"/>
  <c r="W93" i="15"/>
  <c r="W91" i="15"/>
  <c r="AE88" i="15"/>
  <c r="V85" i="15"/>
  <c r="Z77" i="15"/>
  <c r="Z69" i="15"/>
  <c r="AB66" i="15"/>
  <c r="X64" i="15"/>
  <c r="S56" i="15"/>
  <c r="AE99" i="15"/>
  <c r="V93" i="15"/>
  <c r="AE85" i="15"/>
  <c r="AB80" i="15"/>
  <c r="AE78" i="15"/>
  <c r="X77" i="15"/>
  <c r="S73" i="15"/>
  <c r="X72" i="15"/>
  <c r="AE70" i="15"/>
  <c r="X69" i="15"/>
  <c r="S65" i="15"/>
  <c r="V49" i="15"/>
  <c r="X49" i="15"/>
  <c r="AB49" i="15"/>
  <c r="AA42" i="15"/>
  <c r="AB42" i="15"/>
  <c r="AD42" i="15"/>
  <c r="AF42" i="15" s="1"/>
  <c r="Y42" i="15"/>
  <c r="Z21" i="15"/>
  <c r="AA21" i="15"/>
  <c r="AB21" i="15"/>
  <c r="X21" i="15"/>
  <c r="AE19" i="15"/>
  <c r="AB39" i="15"/>
  <c r="V39" i="15"/>
  <c r="Z39" i="15"/>
  <c r="Z11" i="15"/>
  <c r="AB11" i="15"/>
  <c r="AA45" i="15"/>
  <c r="Y39" i="15"/>
  <c r="AA34" i="15"/>
  <c r="AB34" i="15"/>
  <c r="AD34" i="15"/>
  <c r="AF34" i="15" s="1"/>
  <c r="Y34" i="15"/>
  <c r="X39" i="15"/>
  <c r="V31" i="15"/>
  <c r="X19" i="15"/>
  <c r="Y19" i="15"/>
  <c r="Z19" i="15"/>
  <c r="V19" i="15"/>
  <c r="Y81" i="15"/>
  <c r="AA75" i="15"/>
  <c r="Y73" i="15"/>
  <c r="AA67" i="15"/>
  <c r="Z56" i="15"/>
  <c r="AA55" i="15"/>
  <c r="AB53" i="15"/>
  <c r="X53" i="15"/>
  <c r="V42" i="15"/>
  <c r="T42" i="15" s="1"/>
  <c r="W39" i="15"/>
  <c r="Z37" i="15"/>
  <c r="AA37" i="15"/>
  <c r="AB37" i="15"/>
  <c r="X37" i="15"/>
  <c r="X34" i="15"/>
  <c r="AA26" i="15"/>
  <c r="AB26" i="15"/>
  <c r="Y26" i="15"/>
  <c r="W19" i="15"/>
  <c r="Z75" i="15"/>
  <c r="Z67" i="15"/>
  <c r="AE49" i="15"/>
  <c r="W37" i="15"/>
  <c r="W34" i="15"/>
  <c r="V23" i="15"/>
  <c r="AE21" i="15"/>
  <c r="V55" i="15"/>
  <c r="Z55" i="15"/>
  <c r="AB47" i="15"/>
  <c r="V47" i="15"/>
  <c r="Z47" i="15"/>
  <c r="V34" i="15"/>
  <c r="AE27" i="15"/>
  <c r="AB41" i="15"/>
  <c r="AB17" i="15"/>
  <c r="Z7" i="15"/>
  <c r="Y15" i="15"/>
  <c r="Y7" i="15"/>
  <c r="X41" i="15"/>
  <c r="X17" i="15"/>
  <c r="V15" i="15"/>
  <c r="AB13" i="15"/>
  <c r="V7" i="15"/>
  <c r="V57" i="9"/>
  <c r="Y99" i="9"/>
  <c r="AA91" i="9"/>
  <c r="S86" i="9"/>
  <c r="Y83" i="9"/>
  <c r="Z78" i="9"/>
  <c r="S62" i="9"/>
  <c r="AB49" i="9"/>
  <c r="Z52" i="9"/>
  <c r="Z99" i="9"/>
  <c r="Z83" i="9"/>
  <c r="AE103" i="9"/>
  <c r="V99" i="9"/>
  <c r="Y91" i="9"/>
  <c r="V83" i="9"/>
  <c r="V80" i="9"/>
  <c r="Z65" i="9"/>
  <c r="AE52" i="9"/>
  <c r="Z49" i="9"/>
  <c r="V104" i="9"/>
  <c r="Y103" i="9"/>
  <c r="AE99" i="9"/>
  <c r="AE95" i="9"/>
  <c r="AE83" i="9"/>
  <c r="Y79" i="9"/>
  <c r="AB77" i="9"/>
  <c r="AE67" i="9"/>
  <c r="Y66" i="9"/>
  <c r="Y60" i="9"/>
  <c r="Y58" i="9"/>
  <c r="AB57" i="9"/>
  <c r="Y49" i="9"/>
  <c r="AA47" i="9"/>
  <c r="AE104" i="9"/>
  <c r="AA101" i="9"/>
  <c r="AE96" i="9"/>
  <c r="V91" i="9"/>
  <c r="AB90" i="9"/>
  <c r="V78" i="9"/>
  <c r="AE76" i="9"/>
  <c r="AB65" i="9"/>
  <c r="AA57" i="9"/>
  <c r="AE50" i="9"/>
  <c r="AA80" i="9"/>
  <c r="Y52" i="9"/>
  <c r="AB99" i="9"/>
  <c r="AB83" i="9"/>
  <c r="AE63" i="9"/>
  <c r="Z61" i="9"/>
  <c r="AE56" i="9"/>
  <c r="V101" i="9"/>
  <c r="Y90" i="9"/>
  <c r="Z90" i="9"/>
  <c r="AA90" i="9"/>
  <c r="V90" i="9"/>
  <c r="Y62" i="9"/>
  <c r="Z62" i="9"/>
  <c r="AA62" i="9"/>
  <c r="AB62" i="9"/>
  <c r="AE62" i="9"/>
  <c r="Z51" i="9"/>
  <c r="Y51" i="9"/>
  <c r="AA51" i="9"/>
  <c r="AB51" i="9"/>
  <c r="AE51" i="9"/>
  <c r="Z103" i="9"/>
  <c r="AA103" i="9"/>
  <c r="AB103" i="9"/>
  <c r="Y69" i="9"/>
  <c r="Z69" i="9"/>
  <c r="AA69" i="9"/>
  <c r="V69" i="9"/>
  <c r="AE69" i="9"/>
  <c r="Y43" i="9"/>
  <c r="Z43" i="9"/>
  <c r="AB43" i="9"/>
  <c r="AA43" i="9"/>
  <c r="AE43" i="9"/>
  <c r="AB97" i="9"/>
  <c r="V97" i="9"/>
  <c r="Y97" i="9"/>
  <c r="Y93" i="9"/>
  <c r="V74" i="9"/>
  <c r="Y74" i="9"/>
  <c r="Z74" i="9"/>
  <c r="AA74" i="9"/>
  <c r="Z59" i="9"/>
  <c r="AA59" i="9"/>
  <c r="Y59" i="9"/>
  <c r="AB59" i="9"/>
  <c r="AE59" i="9"/>
  <c r="V59" i="9"/>
  <c r="V51" i="9"/>
  <c r="Y101" i="9"/>
  <c r="Z101" i="9"/>
  <c r="Z97" i="9"/>
  <c r="AD85" i="9"/>
  <c r="AF85" i="9" s="1"/>
  <c r="V76" i="9"/>
  <c r="Z67" i="9"/>
  <c r="AA67" i="9"/>
  <c r="AB67" i="9"/>
  <c r="AB53" i="9"/>
  <c r="V53" i="9"/>
  <c r="AE53" i="9"/>
  <c r="Y53" i="9"/>
  <c r="Z53" i="9"/>
  <c r="Y98" i="9"/>
  <c r="Z98" i="9"/>
  <c r="AA98" i="9"/>
  <c r="V98" i="9"/>
  <c r="V103" i="9"/>
  <c r="AB81" i="9"/>
  <c r="V81" i="9"/>
  <c r="Y81" i="9"/>
  <c r="Y77" i="9"/>
  <c r="Z77" i="9"/>
  <c r="Y67" i="9"/>
  <c r="V43" i="9"/>
  <c r="Y105" i="9"/>
  <c r="S102" i="9"/>
  <c r="AB101" i="9"/>
  <c r="AE98" i="9"/>
  <c r="AE84" i="9"/>
  <c r="Z81" i="9"/>
  <c r="Y73" i="9"/>
  <c r="Z73" i="9"/>
  <c r="AA73" i="9"/>
  <c r="AB73" i="9"/>
  <c r="V73" i="9"/>
  <c r="AE73" i="9"/>
  <c r="Z45" i="9"/>
  <c r="AA45" i="9"/>
  <c r="AB45" i="9"/>
  <c r="AE45" i="9"/>
  <c r="V45" i="9"/>
  <c r="S44" i="9"/>
  <c r="Z40" i="9"/>
  <c r="AE40" i="9"/>
  <c r="S20" i="9"/>
  <c r="Y11" i="9"/>
  <c r="Z11" i="9"/>
  <c r="AA11" i="9"/>
  <c r="AB11" i="9"/>
  <c r="AB47" i="9"/>
  <c r="V47" i="9"/>
  <c r="Y27" i="9"/>
  <c r="AA56" i="9"/>
  <c r="AB39" i="9"/>
  <c r="V39" i="9"/>
  <c r="AA39" i="9"/>
  <c r="AE39" i="9"/>
  <c r="Y24" i="9"/>
  <c r="AE24" i="9"/>
  <c r="Y96" i="9"/>
  <c r="AB95" i="9"/>
  <c r="AB79" i="9"/>
  <c r="AA65" i="9"/>
  <c r="AA61" i="9"/>
  <c r="Z47" i="9"/>
  <c r="Y39" i="9"/>
  <c r="S28" i="9"/>
  <c r="AB23" i="9"/>
  <c r="V23" i="9"/>
  <c r="AA23" i="9"/>
  <c r="AE23" i="9"/>
  <c r="AB15" i="9"/>
  <c r="V15" i="9"/>
  <c r="Y15" i="9"/>
  <c r="AE15" i="9"/>
  <c r="AA95" i="9"/>
  <c r="AA79" i="9"/>
  <c r="Y54" i="9"/>
  <c r="AA54" i="9"/>
  <c r="AB54" i="9"/>
  <c r="Y47" i="9"/>
  <c r="S36" i="9"/>
  <c r="AE31" i="9"/>
  <c r="Z23" i="9"/>
  <c r="Y65" i="9"/>
  <c r="AB61" i="9"/>
  <c r="AA34" i="9"/>
  <c r="AB34" i="9"/>
  <c r="Y23" i="9"/>
  <c r="AA15" i="9"/>
  <c r="Z13" i="9"/>
  <c r="AA13" i="9"/>
  <c r="AB13" i="9"/>
  <c r="Z35" i="9"/>
  <c r="Y19" i="9"/>
  <c r="Z19" i="9"/>
  <c r="V13" i="9"/>
  <c r="Y57" i="9"/>
  <c r="V49" i="9"/>
  <c r="V19" i="9"/>
  <c r="V18" i="9"/>
  <c r="S12" i="9"/>
  <c r="AE8" i="9"/>
  <c r="AA50" i="9"/>
  <c r="AA16" i="9"/>
  <c r="AE13" i="9"/>
  <c r="X95" i="16"/>
  <c r="Y95" i="16"/>
  <c r="V95" i="16"/>
  <c r="Z95" i="16"/>
  <c r="AA95" i="16"/>
  <c r="AB95" i="16" s="1"/>
  <c r="AD95" i="16" s="1"/>
  <c r="AE95" i="16" s="1"/>
  <c r="T95" i="16"/>
  <c r="U95" i="16"/>
  <c r="AC95" i="16"/>
  <c r="X103" i="16"/>
  <c r="Y103" i="16"/>
  <c r="V103" i="16"/>
  <c r="Z103" i="16"/>
  <c r="AA103" i="16"/>
  <c r="AB103" i="16" s="1"/>
  <c r="AD103" i="16" s="1"/>
  <c r="AE103" i="16" s="1"/>
  <c r="T103" i="16"/>
  <c r="U103" i="16"/>
  <c r="AC103" i="16"/>
  <c r="V87" i="16"/>
  <c r="W86" i="16"/>
  <c r="Y18" i="16"/>
  <c r="X100" i="16"/>
  <c r="V94" i="16"/>
  <c r="X92" i="16"/>
  <c r="AC87" i="16"/>
  <c r="U87" i="16"/>
  <c r="V86" i="16"/>
  <c r="X82" i="16"/>
  <c r="V79" i="16"/>
  <c r="Y74" i="16"/>
  <c r="AA74" i="16"/>
  <c r="AB74" i="16" s="1"/>
  <c r="AD74" i="16" s="1"/>
  <c r="X71" i="16"/>
  <c r="AA64" i="16"/>
  <c r="AB64" i="16" s="1"/>
  <c r="AD64" i="16" s="1"/>
  <c r="AC64" i="16"/>
  <c r="Z52" i="16"/>
  <c r="AC52" i="16"/>
  <c r="W79" i="16"/>
  <c r="AC102" i="16"/>
  <c r="W100" i="16"/>
  <c r="AC94" i="16"/>
  <c r="U94" i="16"/>
  <c r="T87" i="16"/>
  <c r="AC86" i="16"/>
  <c r="U86" i="16"/>
  <c r="V80" i="16"/>
  <c r="U79" i="16"/>
  <c r="W71" i="16"/>
  <c r="Z35" i="16"/>
  <c r="T35" i="16"/>
  <c r="X35" i="16"/>
  <c r="AC35" i="16"/>
  <c r="U35" i="16"/>
  <c r="Y52" i="16"/>
  <c r="AA52" i="16"/>
  <c r="AB52" i="16" s="1"/>
  <c r="AD52" i="16" s="1"/>
  <c r="T52" i="16"/>
  <c r="U52" i="16"/>
  <c r="V52" i="16"/>
  <c r="Y71" i="16"/>
  <c r="R71" i="16" s="1"/>
  <c r="AC101" i="16"/>
  <c r="U101" i="16"/>
  <c r="V100" i="16"/>
  <c r="T94" i="16"/>
  <c r="AC93" i="16"/>
  <c r="U93" i="16"/>
  <c r="V92" i="16"/>
  <c r="AA87" i="16"/>
  <c r="AB87" i="16" s="1"/>
  <c r="AD87" i="16" s="1"/>
  <c r="AE87" i="16" s="1"/>
  <c r="T86" i="16"/>
  <c r="AC85" i="16"/>
  <c r="U85" i="16"/>
  <c r="V82" i="16"/>
  <c r="AC79" i="16"/>
  <c r="X75" i="16"/>
  <c r="V74" i="16"/>
  <c r="AA72" i="16"/>
  <c r="AB72" i="16" s="1"/>
  <c r="AD72" i="16" s="1"/>
  <c r="AC72" i="16"/>
  <c r="Y66" i="16"/>
  <c r="Z66" i="16"/>
  <c r="AA66" i="16"/>
  <c r="AB66" i="16" s="1"/>
  <c r="AD66" i="16" s="1"/>
  <c r="AE66" i="16" s="1"/>
  <c r="X64" i="16"/>
  <c r="X59" i="16"/>
  <c r="Y59" i="16"/>
  <c r="Z59" i="16"/>
  <c r="W52" i="16"/>
  <c r="V47" i="16"/>
  <c r="X47" i="16"/>
  <c r="Z47" i="16"/>
  <c r="AA47" i="16"/>
  <c r="AB47" i="16" s="1"/>
  <c r="AD47" i="16" s="1"/>
  <c r="AE47" i="16" s="1"/>
  <c r="X79" i="16"/>
  <c r="W102" i="16"/>
  <c r="T71" i="16"/>
  <c r="V71" i="16"/>
  <c r="T101" i="16"/>
  <c r="AC100" i="16"/>
  <c r="U100" i="16"/>
  <c r="AA94" i="16"/>
  <c r="AB94" i="16" s="1"/>
  <c r="AD94" i="16" s="1"/>
  <c r="AE94" i="16" s="1"/>
  <c r="T93" i="16"/>
  <c r="AC92" i="16"/>
  <c r="U92" i="16"/>
  <c r="Z87" i="16"/>
  <c r="AA86" i="16"/>
  <c r="AB86" i="16" s="1"/>
  <c r="AD86" i="16" s="1"/>
  <c r="T85" i="16"/>
  <c r="U82" i="16"/>
  <c r="AC80" i="16"/>
  <c r="AA79" i="16"/>
  <c r="AB79" i="16" s="1"/>
  <c r="AD79" i="16" s="1"/>
  <c r="W75" i="16"/>
  <c r="U74" i="16"/>
  <c r="X66" i="16"/>
  <c r="T63" i="16"/>
  <c r="U63" i="16"/>
  <c r="AC63" i="16"/>
  <c r="AE63" i="16" s="1"/>
  <c r="V63" i="16"/>
  <c r="W59" i="16"/>
  <c r="T49" i="16"/>
  <c r="Y47" i="16"/>
  <c r="AA35" i="16"/>
  <c r="AB35" i="16" s="1"/>
  <c r="AD35" i="16" s="1"/>
  <c r="AE35" i="16" s="1"/>
  <c r="V23" i="16"/>
  <c r="X23" i="16"/>
  <c r="T23" i="16"/>
  <c r="R23" i="16" s="1"/>
  <c r="AA23" i="16"/>
  <c r="AB23" i="16"/>
  <c r="AD23" i="16" s="1"/>
  <c r="AC23" i="16"/>
  <c r="U23" i="16"/>
  <c r="W23" i="16"/>
  <c r="W87" i="16"/>
  <c r="W94" i="16"/>
  <c r="AA101" i="16"/>
  <c r="AB101" i="16" s="1"/>
  <c r="AD101" i="16" s="1"/>
  <c r="T100" i="16"/>
  <c r="V98" i="16"/>
  <c r="Z94" i="16"/>
  <c r="AA93" i="16"/>
  <c r="AB93" i="16" s="1"/>
  <c r="AD93" i="16" s="1"/>
  <c r="T92" i="16"/>
  <c r="V90" i="16"/>
  <c r="Y87" i="16"/>
  <c r="Z86" i="16"/>
  <c r="AA85" i="16"/>
  <c r="AB85" i="16"/>
  <c r="AD85" i="16" s="1"/>
  <c r="AC82" i="16"/>
  <c r="T82" i="16"/>
  <c r="AC81" i="16"/>
  <c r="T81" i="16"/>
  <c r="Z79" i="16"/>
  <c r="T74" i="16"/>
  <c r="AC71" i="16"/>
  <c r="W66" i="16"/>
  <c r="V64" i="16"/>
  <c r="Y63" i="16"/>
  <c r="R63" i="16" s="1"/>
  <c r="V59" i="16"/>
  <c r="W47" i="16"/>
  <c r="Z43" i="16"/>
  <c r="T43" i="16"/>
  <c r="AA43" i="16"/>
  <c r="AB43" i="16" s="1"/>
  <c r="AD43" i="16" s="1"/>
  <c r="AC43" i="16"/>
  <c r="U43" i="16"/>
  <c r="Y35" i="16"/>
  <c r="AC98" i="16"/>
  <c r="Z80" i="16"/>
  <c r="Y79" i="16"/>
  <c r="U78" i="16"/>
  <c r="AC78" i="16"/>
  <c r="W77" i="16"/>
  <c r="AC74" i="16"/>
  <c r="AA71" i="16"/>
  <c r="AB71" i="16" s="1"/>
  <c r="AD71" i="16" s="1"/>
  <c r="V66" i="16"/>
  <c r="AA65" i="16"/>
  <c r="AB65" i="16" s="1"/>
  <c r="AD65" i="16" s="1"/>
  <c r="AE65" i="16" s="1"/>
  <c r="X63" i="16"/>
  <c r="U59" i="16"/>
  <c r="U47" i="16"/>
  <c r="U44" i="16"/>
  <c r="W35" i="16"/>
  <c r="V31" i="16"/>
  <c r="X31" i="16"/>
  <c r="T31" i="16"/>
  <c r="AA26" i="16"/>
  <c r="AB26" i="16" s="1"/>
  <c r="AD26" i="16" s="1"/>
  <c r="U26" i="16"/>
  <c r="AC26" i="16"/>
  <c r="Y26" i="16"/>
  <c r="X13" i="16"/>
  <c r="Y13" i="16"/>
  <c r="Z13" i="16"/>
  <c r="AA13" i="16"/>
  <c r="AB13" i="16" s="1"/>
  <c r="AD13" i="16" s="1"/>
  <c r="AE13" i="16" s="1"/>
  <c r="T13" i="16"/>
  <c r="U13" i="16"/>
  <c r="AC13" i="16"/>
  <c r="V13" i="16"/>
  <c r="R13" i="16" s="1"/>
  <c r="X21" i="16"/>
  <c r="Z21" i="16"/>
  <c r="V21" i="16"/>
  <c r="V39" i="16"/>
  <c r="X39" i="16"/>
  <c r="T39" i="16"/>
  <c r="AA34" i="16"/>
  <c r="AB34" i="16" s="1"/>
  <c r="AD34" i="16" s="1"/>
  <c r="AE34" i="16" s="1"/>
  <c r="U34" i="16"/>
  <c r="AC34" i="16"/>
  <c r="Y34" i="16"/>
  <c r="W31" i="16"/>
  <c r="W26" i="16"/>
  <c r="Y21" i="16"/>
  <c r="R21" i="16" s="1"/>
  <c r="Z19" i="16"/>
  <c r="T19" i="16"/>
  <c r="X19" i="16"/>
  <c r="X69" i="16"/>
  <c r="X61" i="16"/>
  <c r="Y55" i="16"/>
  <c r="AA50" i="16"/>
  <c r="AB50" i="16"/>
  <c r="AD50" i="16" s="1"/>
  <c r="U50" i="16"/>
  <c r="AC50" i="16"/>
  <c r="X45" i="16"/>
  <c r="Z45" i="16"/>
  <c r="AA42" i="16"/>
  <c r="AB42" i="16" s="1"/>
  <c r="AD42" i="16"/>
  <c r="U42" i="16"/>
  <c r="AC42" i="16"/>
  <c r="Y39" i="16"/>
  <c r="X34" i="16"/>
  <c r="U31" i="16"/>
  <c r="X29" i="16"/>
  <c r="Z29" i="16"/>
  <c r="V29" i="16"/>
  <c r="V26" i="16"/>
  <c r="W21" i="16"/>
  <c r="Y19" i="16"/>
  <c r="W39" i="16"/>
  <c r="W34" i="16"/>
  <c r="Z27" i="16"/>
  <c r="T27" i="16"/>
  <c r="X27" i="16"/>
  <c r="T26" i="16"/>
  <c r="U21" i="16"/>
  <c r="W19" i="16"/>
  <c r="W17" i="16"/>
  <c r="AC70" i="16"/>
  <c r="AE70" i="16" s="1"/>
  <c r="AC62" i="16"/>
  <c r="U58" i="16"/>
  <c r="AC58" i="16"/>
  <c r="V55" i="16"/>
  <c r="V54" i="16"/>
  <c r="W50" i="16"/>
  <c r="V45" i="16"/>
  <c r="W42" i="16"/>
  <c r="U39" i="16"/>
  <c r="X37" i="16"/>
  <c r="Z37" i="16"/>
  <c r="V37" i="16"/>
  <c r="V34" i="16"/>
  <c r="T33" i="16"/>
  <c r="W29" i="16"/>
  <c r="Y27" i="16"/>
  <c r="T21" i="16"/>
  <c r="V19" i="16"/>
  <c r="U17" i="16"/>
  <c r="W13" i="16"/>
  <c r="T15" i="16"/>
  <c r="R15" i="16" s="1"/>
  <c r="X11" i="16"/>
  <c r="Y10" i="16"/>
  <c r="AC6" i="16"/>
  <c r="AA15" i="16"/>
  <c r="AB15" i="16" s="1"/>
  <c r="AD15" i="16" s="1"/>
  <c r="AE15" i="16" s="1"/>
  <c r="X10" i="16"/>
  <c r="Z15" i="16"/>
  <c r="Y7" i="16"/>
  <c r="X15" i="16"/>
  <c r="T11" i="16"/>
  <c r="AC10" i="16"/>
  <c r="U10" i="16"/>
  <c r="AC9" i="16"/>
  <c r="Y90" i="7"/>
  <c r="Z90" i="7"/>
  <c r="AA90" i="7"/>
  <c r="AB90" i="7"/>
  <c r="AC90" i="7" s="1"/>
  <c r="AE90" i="7" s="1"/>
  <c r="AF90" i="7" s="1"/>
  <c r="U90" i="7"/>
  <c r="V90" i="7"/>
  <c r="AD90" i="7"/>
  <c r="W90" i="7"/>
  <c r="Y86" i="7"/>
  <c r="W86" i="7"/>
  <c r="Z86" i="7"/>
  <c r="AA86" i="7"/>
  <c r="AB86" i="7"/>
  <c r="AC86" i="7" s="1"/>
  <c r="AE86" i="7" s="1"/>
  <c r="AF86" i="7" s="1"/>
  <c r="U86" i="7"/>
  <c r="V86" i="7"/>
  <c r="AD86" i="7"/>
  <c r="Z51" i="7"/>
  <c r="V51" i="7"/>
  <c r="W51" i="7"/>
  <c r="X51" i="7"/>
  <c r="AD51" i="7"/>
  <c r="U51" i="7"/>
  <c r="Y51" i="7"/>
  <c r="AA51" i="7"/>
  <c r="AB51" i="7"/>
  <c r="AC51" i="7" s="1"/>
  <c r="AE51" i="7" s="1"/>
  <c r="AF51" i="7" s="1"/>
  <c r="Y98" i="7"/>
  <c r="W98" i="7"/>
  <c r="Z98" i="7"/>
  <c r="AA98" i="7"/>
  <c r="AB98" i="7"/>
  <c r="AC98" i="7" s="1"/>
  <c r="AE98" i="7" s="1"/>
  <c r="AF98" i="7" s="1"/>
  <c r="U98" i="7"/>
  <c r="V98" i="7"/>
  <c r="AD98" i="7"/>
  <c r="Y102" i="7"/>
  <c r="Z102" i="7"/>
  <c r="AA102" i="7"/>
  <c r="AB102" i="7"/>
  <c r="AC102" i="7" s="1"/>
  <c r="AE102" i="7" s="1"/>
  <c r="AF102" i="7" s="1"/>
  <c r="U102" i="7"/>
  <c r="V102" i="7"/>
  <c r="AD102" i="7"/>
  <c r="W102" i="7"/>
  <c r="Y94" i="7"/>
  <c r="Z94" i="7"/>
  <c r="AA94" i="7"/>
  <c r="AB94" i="7"/>
  <c r="AC94" i="7" s="1"/>
  <c r="AE94" i="7" s="1"/>
  <c r="AF94" i="7" s="1"/>
  <c r="W94" i="7"/>
  <c r="U94" i="7"/>
  <c r="V94" i="7"/>
  <c r="AD94" i="7"/>
  <c r="X98" i="7"/>
  <c r="X90" i="7"/>
  <c r="Y76" i="7"/>
  <c r="Z76" i="7"/>
  <c r="AB76" i="7"/>
  <c r="AC76" i="7" s="1"/>
  <c r="AE76" i="7" s="1"/>
  <c r="AF76" i="7" s="1"/>
  <c r="AD76" i="7"/>
  <c r="U76" i="7"/>
  <c r="V76" i="7"/>
  <c r="W76" i="7"/>
  <c r="X76" i="7"/>
  <c r="AA63" i="7"/>
  <c r="AB63" i="7"/>
  <c r="AC63" i="7" s="1"/>
  <c r="AE63" i="7" s="1"/>
  <c r="AF63" i="7" s="1"/>
  <c r="U63" i="7"/>
  <c r="U58" i="7"/>
  <c r="V58" i="7"/>
  <c r="AD58" i="7"/>
  <c r="W58" i="7"/>
  <c r="Z100" i="7"/>
  <c r="AB99" i="7"/>
  <c r="AC99" i="7" s="1"/>
  <c r="AE99" i="7" s="1"/>
  <c r="AF99" i="7" s="1"/>
  <c r="AB95" i="7"/>
  <c r="AC95" i="7" s="1"/>
  <c r="AE95" i="7" s="1"/>
  <c r="AF95" i="7" s="1"/>
  <c r="Z92" i="7"/>
  <c r="AB91" i="7"/>
  <c r="AC91" i="7" s="1"/>
  <c r="AE91" i="7" s="1"/>
  <c r="AF91" i="7" s="1"/>
  <c r="AB87" i="7"/>
  <c r="AC87" i="7" s="1"/>
  <c r="AE87" i="7" s="1"/>
  <c r="AF87" i="7" s="1"/>
  <c r="Z84" i="7"/>
  <c r="AB83" i="7"/>
  <c r="AC83" i="7" s="1"/>
  <c r="AE83" i="7" s="1"/>
  <c r="AF83" i="7" s="1"/>
  <c r="AB82" i="7"/>
  <c r="AC82" i="7" s="1"/>
  <c r="AE82" i="7" s="1"/>
  <c r="AF82" i="7" s="1"/>
  <c r="Y78" i="7"/>
  <c r="AB74" i="7"/>
  <c r="AC74" i="7" s="1"/>
  <c r="AE74" i="7" s="1"/>
  <c r="AF74" i="7" s="1"/>
  <c r="Y66" i="7"/>
  <c r="Z63" i="7"/>
  <c r="AB60" i="7"/>
  <c r="AC60" i="7" s="1"/>
  <c r="AE60" i="7" s="1"/>
  <c r="AF60" i="7" s="1"/>
  <c r="Z58" i="7"/>
  <c r="AA71" i="7"/>
  <c r="AB71" i="7"/>
  <c r="AC71" i="7" s="1"/>
  <c r="AE71" i="7" s="1"/>
  <c r="AF71" i="7" s="1"/>
  <c r="AA55" i="7"/>
  <c r="AB55" i="7"/>
  <c r="AC55" i="7" s="1"/>
  <c r="AE55" i="7" s="1"/>
  <c r="AF55" i="7" s="1"/>
  <c r="U55" i="7"/>
  <c r="U35" i="7"/>
  <c r="V35" i="7"/>
  <c r="AD35" i="7"/>
  <c r="Y35" i="7"/>
  <c r="Z35" i="7"/>
  <c r="W35" i="7"/>
  <c r="X35" i="7"/>
  <c r="AA35" i="7"/>
  <c r="AB35" i="7"/>
  <c r="AC35" i="7" s="1"/>
  <c r="AE35" i="7" s="1"/>
  <c r="AF35" i="7" s="1"/>
  <c r="Y104" i="7"/>
  <c r="Y100" i="7"/>
  <c r="Y92" i="7"/>
  <c r="Y84" i="7"/>
  <c r="AA83" i="7"/>
  <c r="AA79" i="7"/>
  <c r="AB79" i="7"/>
  <c r="AC79" i="7" s="1"/>
  <c r="AE79" i="7" s="1"/>
  <c r="AF79" i="7" s="1"/>
  <c r="Y72" i="7"/>
  <c r="Z72" i="7"/>
  <c r="X71" i="7"/>
  <c r="X66" i="7"/>
  <c r="Y63" i="7"/>
  <c r="X60" i="7"/>
  <c r="Y58" i="7"/>
  <c r="Y55" i="7"/>
  <c r="U78" i="7"/>
  <c r="V78" i="7"/>
  <c r="AD78" i="7"/>
  <c r="Z66" i="7"/>
  <c r="W78" i="7"/>
  <c r="U74" i="7"/>
  <c r="V74" i="7"/>
  <c r="AD74" i="7"/>
  <c r="W71" i="7"/>
  <c r="X63" i="7"/>
  <c r="W60" i="7"/>
  <c r="X58" i="7"/>
  <c r="X55" i="7"/>
  <c r="U54" i="7"/>
  <c r="AD63" i="7"/>
  <c r="AA58" i="7"/>
  <c r="W100" i="7"/>
  <c r="W96" i="7"/>
  <c r="W92" i="7"/>
  <c r="W84" i="7"/>
  <c r="V82" i="7"/>
  <c r="AD82" i="7"/>
  <c r="Y80" i="7"/>
  <c r="Z80" i="7"/>
  <c r="Y74" i="7"/>
  <c r="V71" i="7"/>
  <c r="Y68" i="7"/>
  <c r="Z68" i="7"/>
  <c r="Y64" i="7"/>
  <c r="Z64" i="7"/>
  <c r="AA64" i="7"/>
  <c r="W63" i="7"/>
  <c r="U62" i="7"/>
  <c r="V62" i="7"/>
  <c r="AD62" i="7"/>
  <c r="W62" i="7"/>
  <c r="AA59" i="7"/>
  <c r="AB59" i="7"/>
  <c r="AC59" i="7" s="1"/>
  <c r="AE59" i="7" s="1"/>
  <c r="AF59" i="7" s="1"/>
  <c r="U59" i="7"/>
  <c r="Y56" i="7"/>
  <c r="Z56" i="7"/>
  <c r="AA56" i="7"/>
  <c r="W55" i="7"/>
  <c r="U19" i="7"/>
  <c r="V19" i="7"/>
  <c r="AD19" i="7"/>
  <c r="W19" i="7"/>
  <c r="Y19" i="7"/>
  <c r="Z19" i="7"/>
  <c r="X19" i="7"/>
  <c r="AA19" i="7"/>
  <c r="AB19" i="7"/>
  <c r="AC19" i="7"/>
  <c r="AE19" i="7" s="1"/>
  <c r="AF19" i="7" s="1"/>
  <c r="Z78" i="7"/>
  <c r="U66" i="7"/>
  <c r="V66" i="7"/>
  <c r="AD66" i="7"/>
  <c r="Y60" i="7"/>
  <c r="Z60" i="7"/>
  <c r="AA60" i="7"/>
  <c r="AD100" i="7"/>
  <c r="V100" i="7"/>
  <c r="AD92" i="7"/>
  <c r="V92" i="7"/>
  <c r="AD84" i="7"/>
  <c r="V84" i="7"/>
  <c r="X83" i="7"/>
  <c r="X82" i="7"/>
  <c r="X80" i="7"/>
  <c r="W79" i="7"/>
  <c r="X74" i="7"/>
  <c r="U71" i="7"/>
  <c r="X68" i="7"/>
  <c r="AB64" i="7"/>
  <c r="AC64" i="7" s="1"/>
  <c r="AE64" i="7" s="1"/>
  <c r="AF64" i="7" s="1"/>
  <c r="V63" i="7"/>
  <c r="Z62" i="7"/>
  <c r="U60" i="7"/>
  <c r="S60" i="7" s="1"/>
  <c r="Z59" i="7"/>
  <c r="AB56" i="7"/>
  <c r="AC56" i="7" s="1"/>
  <c r="AE56" i="7" s="1"/>
  <c r="AF56" i="7" s="1"/>
  <c r="V55" i="7"/>
  <c r="V53" i="7"/>
  <c r="AD53" i="7"/>
  <c r="U53" i="7"/>
  <c r="W53" i="7"/>
  <c r="Z37" i="7"/>
  <c r="U37" i="7"/>
  <c r="V37" i="7"/>
  <c r="AD37" i="7"/>
  <c r="W37" i="7"/>
  <c r="X37" i="7"/>
  <c r="Y37" i="7"/>
  <c r="W82" i="7"/>
  <c r="S82" i="7" s="1"/>
  <c r="W80" i="7"/>
  <c r="V79" i="7"/>
  <c r="AB78" i="7"/>
  <c r="AC78" i="7" s="1"/>
  <c r="AE78" i="7" s="1"/>
  <c r="AF78" i="7" s="1"/>
  <c r="W74" i="7"/>
  <c r="U72" i="7"/>
  <c r="AD71" i="7"/>
  <c r="U70" i="7"/>
  <c r="V70" i="7"/>
  <c r="AD70" i="7"/>
  <c r="W68" i="7"/>
  <c r="AB66" i="7"/>
  <c r="AC66" i="7" s="1"/>
  <c r="AE66" i="7" s="1"/>
  <c r="AF66" i="7" s="1"/>
  <c r="X64" i="7"/>
  <c r="T64" i="7" s="1"/>
  <c r="Y62" i="7"/>
  <c r="Y59" i="7"/>
  <c r="X56" i="7"/>
  <c r="AA53" i="7"/>
  <c r="U27" i="7"/>
  <c r="V27" i="7"/>
  <c r="AD27" i="7"/>
  <c r="W27" i="7"/>
  <c r="Y27" i="7"/>
  <c r="Z27" i="7"/>
  <c r="X27" i="7"/>
  <c r="AA27" i="7"/>
  <c r="AB27" i="7"/>
  <c r="AC27" i="7" s="1"/>
  <c r="AE27" i="7" s="1"/>
  <c r="AF27" i="7" s="1"/>
  <c r="V43" i="7"/>
  <c r="AD43" i="7"/>
  <c r="Y43" i="7"/>
  <c r="Z43" i="7"/>
  <c r="S43" i="7" s="1"/>
  <c r="Y29" i="7"/>
  <c r="Z29" i="7"/>
  <c r="AA29" i="7"/>
  <c r="U29" i="7"/>
  <c r="V29" i="7"/>
  <c r="AD29" i="7"/>
  <c r="Y21" i="7"/>
  <c r="Z21" i="7"/>
  <c r="AA21" i="7"/>
  <c r="U21" i="7"/>
  <c r="V21" i="7"/>
  <c r="AD21" i="7"/>
  <c r="Y13" i="7"/>
  <c r="Z13" i="7"/>
  <c r="AA13" i="7"/>
  <c r="U13" i="7"/>
  <c r="V13" i="7"/>
  <c r="AD13" i="7"/>
  <c r="AD41" i="7"/>
  <c r="X43" i="7"/>
  <c r="Y9" i="7"/>
  <c r="Z9" i="7"/>
  <c r="AA9" i="7"/>
  <c r="AB9" i="7"/>
  <c r="AC9" i="7" s="1"/>
  <c r="AE9" i="7" s="1"/>
  <c r="AF9" i="7" s="1"/>
  <c r="U9" i="7"/>
  <c r="V9" i="7"/>
  <c r="AD9" i="7"/>
  <c r="X50" i="7"/>
  <c r="V45" i="7"/>
  <c r="AD45" i="7"/>
  <c r="W43" i="7"/>
  <c r="AB29" i="7"/>
  <c r="AC29" i="7" s="1"/>
  <c r="AE29" i="7" s="1"/>
  <c r="AF29" i="7" s="1"/>
  <c r="AB21" i="7"/>
  <c r="AC21" i="7" s="1"/>
  <c r="AE21" i="7" s="1"/>
  <c r="AF21" i="7" s="1"/>
  <c r="U15" i="7"/>
  <c r="AB13" i="7"/>
  <c r="AC13" i="7" s="1"/>
  <c r="AE13" i="7" s="1"/>
  <c r="AF13" i="7" s="1"/>
  <c r="W50" i="7"/>
  <c r="S50" i="7" s="1"/>
  <c r="W49" i="7"/>
  <c r="X47" i="7"/>
  <c r="X46" i="7"/>
  <c r="X45" i="7"/>
  <c r="U43" i="7"/>
  <c r="X41" i="7"/>
  <c r="Y33" i="7"/>
  <c r="Z33" i="7"/>
  <c r="AA33" i="7"/>
  <c r="U33" i="7"/>
  <c r="V33" i="7"/>
  <c r="AD33" i="7"/>
  <c r="X29" i="7"/>
  <c r="Y25" i="7"/>
  <c r="Z25" i="7"/>
  <c r="AA25" i="7"/>
  <c r="U25" i="7"/>
  <c r="V25" i="7"/>
  <c r="AD25" i="7"/>
  <c r="X21" i="7"/>
  <c r="Y17" i="7"/>
  <c r="Z17" i="7"/>
  <c r="AA17" i="7"/>
  <c r="U17" i="7"/>
  <c r="V17" i="7"/>
  <c r="AD17" i="7"/>
  <c r="X13" i="7"/>
  <c r="V50" i="7"/>
  <c r="W47" i="7"/>
  <c r="W46" i="7"/>
  <c r="S46" i="7" s="1"/>
  <c r="W45" i="7"/>
  <c r="W41" i="7"/>
  <c r="V39" i="7"/>
  <c r="AD39" i="7"/>
  <c r="Y39" i="7"/>
  <c r="Z39" i="7"/>
  <c r="W29" i="7"/>
  <c r="S29" i="7" s="1"/>
  <c r="W21" i="7"/>
  <c r="W13" i="7"/>
  <c r="AB42" i="7"/>
  <c r="AC42" i="7" s="1"/>
  <c r="AE42" i="7" s="1"/>
  <c r="AF42" i="7" s="1"/>
  <c r="AB38" i="7"/>
  <c r="AC38" i="7" s="1"/>
  <c r="AE38" i="7" s="1"/>
  <c r="AF38" i="7" s="1"/>
  <c r="AB34" i="7"/>
  <c r="AC34" i="7"/>
  <c r="AE34" i="7" s="1"/>
  <c r="AF34" i="7" s="1"/>
  <c r="AB30" i="7"/>
  <c r="AC30" i="7" s="1"/>
  <c r="AE30" i="7" s="1"/>
  <c r="AF30" i="7" s="1"/>
  <c r="AB22" i="7"/>
  <c r="AC22" i="7" s="1"/>
  <c r="AE22" i="7" s="1"/>
  <c r="AF22" i="7" s="1"/>
  <c r="AB18" i="7"/>
  <c r="AC18" i="7" s="1"/>
  <c r="AE18" i="7" s="1"/>
  <c r="AF18" i="7" s="1"/>
  <c r="AB14" i="7"/>
  <c r="AC14" i="7" s="1"/>
  <c r="AE14" i="7" s="1"/>
  <c r="AF14" i="7" s="1"/>
  <c r="Z11" i="7"/>
  <c r="AB10" i="7"/>
  <c r="AC10" i="7" s="1"/>
  <c r="AE10" i="7" s="1"/>
  <c r="AF10" i="7" s="1"/>
  <c r="AB6" i="7"/>
  <c r="AC6" i="7" s="1"/>
  <c r="AE6" i="7" s="1"/>
  <c r="AF6" i="7" s="1"/>
  <c r="Y11" i="7"/>
  <c r="W11" i="7"/>
  <c r="AD11" i="7"/>
  <c r="V11" i="7"/>
  <c r="H3" i="10"/>
  <c r="B3" i="10"/>
  <c r="C3" i="10"/>
  <c r="B3" i="11"/>
  <c r="C3" i="11"/>
  <c r="G3" i="11"/>
  <c r="B4" i="11"/>
  <c r="C4" i="11"/>
  <c r="J4" i="11"/>
  <c r="B5" i="11"/>
  <c r="C5" i="11"/>
  <c r="I5" i="11"/>
  <c r="B6" i="11"/>
  <c r="C6" i="11"/>
  <c r="H6" i="11"/>
  <c r="B7" i="11"/>
  <c r="C7" i="11"/>
  <c r="G7" i="11"/>
  <c r="B8" i="11"/>
  <c r="C8" i="11"/>
  <c r="B9" i="11"/>
  <c r="C9" i="11"/>
  <c r="B10" i="11"/>
  <c r="C10" i="11"/>
  <c r="H10" i="11"/>
  <c r="B11" i="11"/>
  <c r="C11" i="11"/>
  <c r="G11" i="11"/>
  <c r="B12" i="11"/>
  <c r="C12" i="11"/>
  <c r="J12" i="11"/>
  <c r="B13" i="11"/>
  <c r="C13" i="11"/>
  <c r="I13" i="11"/>
  <c r="B14" i="11"/>
  <c r="C14" i="11"/>
  <c r="H14" i="11"/>
  <c r="B15" i="11"/>
  <c r="C15" i="11"/>
  <c r="G15" i="11"/>
  <c r="B16" i="11"/>
  <c r="C16" i="11"/>
  <c r="J16" i="11"/>
  <c r="B17" i="11"/>
  <c r="C17" i="11"/>
  <c r="I17" i="11"/>
  <c r="B18" i="11"/>
  <c r="C18" i="11"/>
  <c r="H18" i="11"/>
  <c r="B19" i="11"/>
  <c r="C19" i="11"/>
  <c r="G19" i="11"/>
  <c r="B20" i="11"/>
  <c r="C20" i="11"/>
  <c r="J20" i="11"/>
  <c r="B21" i="11"/>
  <c r="C21" i="11"/>
  <c r="I21" i="11"/>
  <c r="B22" i="11"/>
  <c r="C22" i="11"/>
  <c r="H22" i="11"/>
  <c r="B23" i="11"/>
  <c r="C23" i="11"/>
  <c r="G23" i="11"/>
  <c r="B24" i="11"/>
  <c r="C24" i="11"/>
  <c r="J24" i="11"/>
  <c r="B25" i="11"/>
  <c r="C25" i="11"/>
  <c r="I25" i="11"/>
  <c r="B26" i="11"/>
  <c r="C26" i="11"/>
  <c r="H26" i="11"/>
  <c r="B27" i="11"/>
  <c r="C27" i="11"/>
  <c r="G27" i="11"/>
  <c r="B28" i="11"/>
  <c r="C28" i="11"/>
  <c r="J28" i="11"/>
  <c r="B29" i="11"/>
  <c r="C29" i="11"/>
  <c r="I29" i="11"/>
  <c r="B30" i="11"/>
  <c r="C30" i="11"/>
  <c r="H30" i="11"/>
  <c r="B2" i="11"/>
  <c r="C2" i="11"/>
  <c r="G2" i="11"/>
  <c r="P5" i="16"/>
  <c r="P5" i="15"/>
  <c r="O5" i="15"/>
  <c r="W5" i="15" s="1"/>
  <c r="AC5" i="15"/>
  <c r="AD5" i="15" s="1"/>
  <c r="AF5" i="15" s="1"/>
  <c r="R93" i="16"/>
  <c r="T77" i="7"/>
  <c r="R85" i="16"/>
  <c r="R70" i="16"/>
  <c r="T85" i="15"/>
  <c r="T37" i="15"/>
  <c r="T69" i="15"/>
  <c r="S22" i="7"/>
  <c r="R78" i="16"/>
  <c r="R95" i="16"/>
  <c r="R52" i="16"/>
  <c r="R59" i="16"/>
  <c r="T91" i="9"/>
  <c r="S33" i="7"/>
  <c r="R92" i="16"/>
  <c r="R94" i="16"/>
  <c r="T5" i="16"/>
  <c r="U5" i="16"/>
  <c r="R39" i="16"/>
  <c r="S90" i="7"/>
  <c r="AG62" i="9"/>
  <c r="R69" i="16"/>
  <c r="R66" i="16"/>
  <c r="AE43" i="16"/>
  <c r="AE74" i="16"/>
  <c r="AE26" i="16"/>
  <c r="V5" i="15"/>
  <c r="T93" i="15"/>
  <c r="T51" i="9"/>
  <c r="T49" i="9"/>
  <c r="S63" i="16"/>
  <c r="AE85" i="16"/>
  <c r="AE23" i="16"/>
  <c r="S23" i="16" s="1"/>
  <c r="AE101" i="16"/>
  <c r="S101" i="16" s="1"/>
  <c r="AE50" i="16"/>
  <c r="AE86" i="16"/>
  <c r="R19" i="16"/>
  <c r="AE93" i="16"/>
  <c r="S93" i="16" s="1"/>
  <c r="R87" i="16"/>
  <c r="R103" i="16"/>
  <c r="S58" i="7"/>
  <c r="Y5" i="16"/>
  <c r="AB5" i="15"/>
  <c r="X5" i="15"/>
  <c r="Y5" i="15"/>
  <c r="Z5" i="15"/>
  <c r="AA5" i="16"/>
  <c r="AB5" i="16" s="1"/>
  <c r="AD5" i="16" s="1"/>
  <c r="G30" i="11"/>
  <c r="J27" i="11"/>
  <c r="K25" i="11"/>
  <c r="K22" i="11"/>
  <c r="H21" i="11"/>
  <c r="J18" i="11"/>
  <c r="G17" i="11"/>
  <c r="G14" i="11"/>
  <c r="J11" i="11"/>
  <c r="J7" i="11"/>
  <c r="K5" i="11"/>
  <c r="K29" i="11"/>
  <c r="K26" i="11"/>
  <c r="H25" i="11"/>
  <c r="J22" i="11"/>
  <c r="G21" i="11"/>
  <c r="G18" i="11"/>
  <c r="J15" i="11"/>
  <c r="K13" i="11"/>
  <c r="K10" i="11"/>
  <c r="K6" i="11"/>
  <c r="H5" i="11"/>
  <c r="K30" i="11"/>
  <c r="H29" i="11"/>
  <c r="J26" i="11"/>
  <c r="G25" i="11"/>
  <c r="G22" i="11"/>
  <c r="J19" i="11"/>
  <c r="K17" i="11"/>
  <c r="K14" i="11"/>
  <c r="H13" i="11"/>
  <c r="J10" i="11"/>
  <c r="J6" i="11"/>
  <c r="G5" i="11"/>
  <c r="J30" i="11"/>
  <c r="G29" i="11"/>
  <c r="G26" i="11"/>
  <c r="J23" i="11"/>
  <c r="K21" i="11"/>
  <c r="K18" i="11"/>
  <c r="H17" i="11"/>
  <c r="J14" i="11"/>
  <c r="G13" i="11"/>
  <c r="G10" i="11"/>
  <c r="G6" i="11"/>
  <c r="J3" i="11"/>
  <c r="J8" i="11"/>
  <c r="G8" i="11"/>
  <c r="K8" i="11"/>
  <c r="H8" i="11"/>
  <c r="I8" i="11"/>
  <c r="I9" i="11"/>
  <c r="J9" i="11"/>
  <c r="G9" i="11"/>
  <c r="K9" i="11"/>
  <c r="H9" i="11"/>
  <c r="I20" i="11"/>
  <c r="I12" i="11"/>
  <c r="H28" i="11"/>
  <c r="I27" i="11"/>
  <c r="H24" i="11"/>
  <c r="I23" i="11"/>
  <c r="H20" i="11"/>
  <c r="I19" i="11"/>
  <c r="H16" i="11"/>
  <c r="I15" i="11"/>
  <c r="H12" i="11"/>
  <c r="I11" i="11"/>
  <c r="I7" i="11"/>
  <c r="H4" i="11"/>
  <c r="I3" i="11"/>
  <c r="I30" i="11"/>
  <c r="J29" i="11"/>
  <c r="K28" i="11"/>
  <c r="G28" i="11"/>
  <c r="H27" i="11"/>
  <c r="I26" i="11"/>
  <c r="J25" i="11"/>
  <c r="K24" i="11"/>
  <c r="G24" i="11"/>
  <c r="H23" i="11"/>
  <c r="I22" i="11"/>
  <c r="J21" i="11"/>
  <c r="K20" i="11"/>
  <c r="G20" i="11"/>
  <c r="H19" i="11"/>
  <c r="I18" i="11"/>
  <c r="J17" i="11"/>
  <c r="K16" i="11"/>
  <c r="G16" i="11"/>
  <c r="H15" i="11"/>
  <c r="I14" i="11"/>
  <c r="J13" i="11"/>
  <c r="K12" i="11"/>
  <c r="G12" i="11"/>
  <c r="H11" i="11"/>
  <c r="I10" i="11"/>
  <c r="H7" i="11"/>
  <c r="I6" i="11"/>
  <c r="J5" i="11"/>
  <c r="K4" i="11"/>
  <c r="G4" i="11"/>
  <c r="H3" i="11"/>
  <c r="I28" i="11"/>
  <c r="I24" i="11"/>
  <c r="I16" i="11"/>
  <c r="I4" i="11"/>
  <c r="K27" i="11"/>
  <c r="K23" i="11"/>
  <c r="K19" i="11"/>
  <c r="K15" i="11"/>
  <c r="K11" i="11"/>
  <c r="K7" i="11"/>
  <c r="K3" i="11"/>
  <c r="Z5" i="16"/>
  <c r="X5" i="16"/>
  <c r="AC5" i="16"/>
  <c r="X4" i="12"/>
  <c r="P4" i="12"/>
  <c r="B61" i="10"/>
  <c r="C61" i="10"/>
  <c r="D61" i="10"/>
  <c r="E61" i="10"/>
  <c r="F61" i="10"/>
  <c r="B62" i="10"/>
  <c r="C62" i="10"/>
  <c r="D62" i="10"/>
  <c r="E62" i="10"/>
  <c r="F62" i="10"/>
  <c r="B63" i="10"/>
  <c r="C63" i="10"/>
  <c r="D63" i="10"/>
  <c r="E63" i="10"/>
  <c r="B64" i="10"/>
  <c r="C64" i="10"/>
  <c r="D64" i="10"/>
  <c r="E64" i="10"/>
  <c r="B52" i="10"/>
  <c r="C52" i="10"/>
  <c r="D52" i="10"/>
  <c r="E52" i="10"/>
  <c r="B53" i="10"/>
  <c r="C53" i="10"/>
  <c r="D53" i="10"/>
  <c r="E53" i="10"/>
  <c r="F53" i="10"/>
  <c r="B54" i="10"/>
  <c r="C54" i="10"/>
  <c r="D54" i="10"/>
  <c r="E54" i="10"/>
  <c r="F54" i="10"/>
  <c r="B55" i="10"/>
  <c r="C55" i="10"/>
  <c r="D55" i="10"/>
  <c r="E55" i="10"/>
  <c r="B56" i="10"/>
  <c r="C56" i="10"/>
  <c r="D56" i="10"/>
  <c r="E56" i="10"/>
  <c r="B57" i="10"/>
  <c r="C57" i="10"/>
  <c r="D57" i="10"/>
  <c r="E57" i="10"/>
  <c r="F57" i="10"/>
  <c r="B58" i="10"/>
  <c r="C58" i="10"/>
  <c r="D58" i="10"/>
  <c r="E58" i="10"/>
  <c r="F58" i="10"/>
  <c r="B59" i="10"/>
  <c r="C59" i="10"/>
  <c r="D59" i="10"/>
  <c r="E59" i="10"/>
  <c r="B60" i="10"/>
  <c r="C60" i="10"/>
  <c r="D60" i="10"/>
  <c r="E60" i="10"/>
  <c r="F60" i="10"/>
  <c r="B42" i="10"/>
  <c r="C42" i="10"/>
  <c r="D42" i="10"/>
  <c r="E42" i="10"/>
  <c r="F42" i="10"/>
  <c r="B43" i="10"/>
  <c r="C43" i="10"/>
  <c r="D43" i="10"/>
  <c r="E43" i="10"/>
  <c r="B44" i="10"/>
  <c r="C44" i="10"/>
  <c r="D44" i="10"/>
  <c r="E44" i="10"/>
  <c r="F44" i="10"/>
  <c r="B45" i="10"/>
  <c r="C45" i="10"/>
  <c r="D45" i="10"/>
  <c r="E45" i="10"/>
  <c r="F45" i="10"/>
  <c r="B46" i="10"/>
  <c r="C46" i="10"/>
  <c r="D46" i="10"/>
  <c r="E46" i="10"/>
  <c r="F46" i="10"/>
  <c r="B47" i="10"/>
  <c r="C47" i="10"/>
  <c r="D47" i="10"/>
  <c r="E47" i="10"/>
  <c r="B48" i="10"/>
  <c r="C48" i="10"/>
  <c r="D48" i="10"/>
  <c r="E48" i="10"/>
  <c r="B49" i="10"/>
  <c r="C49" i="10"/>
  <c r="D49" i="10"/>
  <c r="E49" i="10"/>
  <c r="F49" i="10"/>
  <c r="B50" i="10"/>
  <c r="C50" i="10"/>
  <c r="D50" i="10"/>
  <c r="E50" i="10"/>
  <c r="F50" i="10"/>
  <c r="B51" i="10"/>
  <c r="C51" i="10"/>
  <c r="D51" i="10"/>
  <c r="E51" i="10"/>
  <c r="F63" i="10"/>
  <c r="G63" i="10"/>
  <c r="H63" i="10"/>
  <c r="L63" i="10"/>
  <c r="F64" i="10"/>
  <c r="G64" i="10"/>
  <c r="F56" i="10"/>
  <c r="G56" i="10"/>
  <c r="H56" i="10"/>
  <c r="M56" i="10"/>
  <c r="F52" i="10"/>
  <c r="G52" i="10"/>
  <c r="H52" i="10"/>
  <c r="N52" i="10"/>
  <c r="F48" i="10"/>
  <c r="G48" i="10"/>
  <c r="H48" i="10"/>
  <c r="L48" i="10"/>
  <c r="G44" i="10"/>
  <c r="H44" i="10"/>
  <c r="L44" i="10"/>
  <c r="G60" i="10"/>
  <c r="H60" i="10"/>
  <c r="N60" i="10"/>
  <c r="F59" i="10"/>
  <c r="G59" i="10"/>
  <c r="H59" i="10"/>
  <c r="M59" i="10"/>
  <c r="F55" i="10"/>
  <c r="G55" i="10"/>
  <c r="H55" i="10"/>
  <c r="N55" i="10"/>
  <c r="F51" i="10"/>
  <c r="G51" i="10"/>
  <c r="H51" i="10"/>
  <c r="N51" i="10"/>
  <c r="F47" i="10"/>
  <c r="G47" i="10"/>
  <c r="H47" i="10"/>
  <c r="O47" i="10"/>
  <c r="F43" i="10"/>
  <c r="G43" i="10"/>
  <c r="H43" i="10"/>
  <c r="N43" i="10"/>
  <c r="G49" i="10"/>
  <c r="H49" i="10"/>
  <c r="M49" i="10"/>
  <c r="G45" i="10"/>
  <c r="G57" i="10"/>
  <c r="H57" i="10"/>
  <c r="K57" i="10"/>
  <c r="G54" i="10"/>
  <c r="H54" i="10"/>
  <c r="N54" i="10"/>
  <c r="G61" i="10"/>
  <c r="G58" i="10"/>
  <c r="G62" i="10"/>
  <c r="H62" i="10"/>
  <c r="G50" i="10"/>
  <c r="H50" i="10"/>
  <c r="G46" i="10"/>
  <c r="G42" i="10"/>
  <c r="G53" i="10"/>
  <c r="H53" i="10"/>
  <c r="H42" i="10"/>
  <c r="H45" i="10"/>
  <c r="O45" i="10"/>
  <c r="B41" i="10"/>
  <c r="B40" i="10"/>
  <c r="B39" i="10"/>
  <c r="B38" i="10"/>
  <c r="B37"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B11" i="10"/>
  <c r="B10" i="10"/>
  <c r="B9" i="10"/>
  <c r="B8" i="10"/>
  <c r="B7" i="10"/>
  <c r="B6" i="10"/>
  <c r="B5" i="10"/>
  <c r="B4" i="10"/>
  <c r="B2" i="10"/>
  <c r="C2" i="10"/>
  <c r="D2" i="10"/>
  <c r="E2" i="10"/>
  <c r="F2" i="10"/>
  <c r="G2" i="10"/>
  <c r="AE5" i="15"/>
  <c r="H64" i="10"/>
  <c r="M64" i="10"/>
  <c r="N64" i="10"/>
  <c r="K2" i="10"/>
  <c r="N2" i="10"/>
  <c r="L2" i="10"/>
  <c r="M2" i="10"/>
  <c r="O2" i="10"/>
  <c r="H61" i="10"/>
  <c r="N61" i="10"/>
  <c r="L57" i="10"/>
  <c r="N45" i="10"/>
  <c r="K48" i="10"/>
  <c r="O57" i="10"/>
  <c r="O59" i="10"/>
  <c r="K47" i="10"/>
  <c r="K45" i="10"/>
  <c r="L59" i="10"/>
  <c r="L55" i="10"/>
  <c r="M45" i="10"/>
  <c r="N63" i="10"/>
  <c r="M44" i="10"/>
  <c r="M55" i="10"/>
  <c r="M60" i="10"/>
  <c r="H46" i="10"/>
  <c r="O46" i="10"/>
  <c r="O52" i="10"/>
  <c r="K52" i="10"/>
  <c r="L52" i="10"/>
  <c r="K61" i="10"/>
  <c r="O61" i="10"/>
  <c r="K50" i="10"/>
  <c r="O50" i="10"/>
  <c r="L50" i="10"/>
  <c r="M50" i="10"/>
  <c r="N50" i="10"/>
  <c r="N56" i="10"/>
  <c r="O44" i="10"/>
  <c r="N57" i="10"/>
  <c r="M52" i="10"/>
  <c r="L60" i="10"/>
  <c r="M57" i="10"/>
  <c r="K44" i="10"/>
  <c r="K60" i="10"/>
  <c r="L54" i="10"/>
  <c r="K59" i="10"/>
  <c r="N48" i="10"/>
  <c r="O55" i="10"/>
  <c r="L45" i="10"/>
  <c r="O63" i="10"/>
  <c r="O54" i="10"/>
  <c r="N59" i="10"/>
  <c r="M48" i="10"/>
  <c r="K55" i="10"/>
  <c r="M63" i="10"/>
  <c r="K49" i="10"/>
  <c r="L43" i="10"/>
  <c r="M43" i="10"/>
  <c r="M54" i="10"/>
  <c r="L49" i="10"/>
  <c r="L51" i="10"/>
  <c r="M51" i="10"/>
  <c r="H58" i="10"/>
  <c r="K58" i="10"/>
  <c r="L53" i="10"/>
  <c r="M53" i="10"/>
  <c r="K53" i="10"/>
  <c r="N53" i="10"/>
  <c r="O53" i="10"/>
  <c r="K43" i="10"/>
  <c r="K51" i="10"/>
  <c r="L47" i="10"/>
  <c r="M47" i="10"/>
  <c r="K56" i="10"/>
  <c r="L56" i="10"/>
  <c r="O56" i="10"/>
  <c r="K64" i="10"/>
  <c r="L64" i="10"/>
  <c r="O64" i="10"/>
  <c r="K42" i="10"/>
  <c r="O42" i="10"/>
  <c r="L42" i="10"/>
  <c r="M42" i="10"/>
  <c r="N42" i="10"/>
  <c r="O43" i="10"/>
  <c r="O51" i="10"/>
  <c r="K62" i="10"/>
  <c r="O62" i="10"/>
  <c r="L62" i="10"/>
  <c r="M62" i="10"/>
  <c r="N62" i="10"/>
  <c r="N49" i="10"/>
  <c r="O60" i="10"/>
  <c r="O49" i="10"/>
  <c r="N47" i="10"/>
  <c r="K63" i="10"/>
  <c r="O48" i="10"/>
  <c r="M61" i="10"/>
  <c r="K54" i="10"/>
  <c r="N44" i="10"/>
  <c r="Q53" i="10"/>
  <c r="L61" i="10"/>
  <c r="Q61" i="10"/>
  <c r="Q57" i="10"/>
  <c r="Q52" i="10"/>
  <c r="Q54" i="10"/>
  <c r="M58" i="10"/>
  <c r="Q62" i="10"/>
  <c r="Q64" i="10"/>
  <c r="Q56" i="10"/>
  <c r="Q55" i="10"/>
  <c r="Q63" i="10"/>
  <c r="Q59" i="10"/>
  <c r="K46" i="10"/>
  <c r="N46" i="10"/>
  <c r="L58" i="10"/>
  <c r="M46" i="10"/>
  <c r="O58" i="10"/>
  <c r="L46" i="10"/>
  <c r="N58" i="10"/>
  <c r="Q60" i="10"/>
  <c r="Q42" i="10"/>
  <c r="Q43" i="10"/>
  <c r="D3" i="10"/>
  <c r="E3" i="10"/>
  <c r="F3" i="10"/>
  <c r="C39" i="10"/>
  <c r="C36" i="10"/>
  <c r="C38" i="10"/>
  <c r="C40" i="10"/>
  <c r="C41" i="10"/>
  <c r="C4" i="10"/>
  <c r="C6" i="10"/>
  <c r="C7" i="10"/>
  <c r="C8" i="10"/>
  <c r="C10" i="10"/>
  <c r="C11" i="10"/>
  <c r="C12" i="10"/>
  <c r="C14" i="10"/>
  <c r="D14" i="10"/>
  <c r="E14" i="10"/>
  <c r="C15" i="10"/>
  <c r="C16" i="10"/>
  <c r="C18" i="10"/>
  <c r="C19" i="10"/>
  <c r="C20" i="10"/>
  <c r="C22" i="10"/>
  <c r="C23" i="10"/>
  <c r="C24" i="10"/>
  <c r="C26" i="10"/>
  <c r="C27" i="10"/>
  <c r="C28" i="10"/>
  <c r="C30" i="10"/>
  <c r="D30" i="10"/>
  <c r="E30" i="10"/>
  <c r="C31" i="10"/>
  <c r="C32" i="10"/>
  <c r="C34" i="10"/>
  <c r="D34" i="10"/>
  <c r="E34" i="10"/>
  <c r="C35" i="10"/>
  <c r="J3" i="5"/>
  <c r="J4" i="5"/>
  <c r="J5" i="5"/>
  <c r="J6" i="5"/>
  <c r="J7" i="5"/>
  <c r="J8" i="5"/>
  <c r="J9" i="5"/>
  <c r="J10"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75" i="5"/>
  <c r="J76" i="5"/>
  <c r="J77" i="5"/>
  <c r="J78" i="5"/>
  <c r="J2"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F72" i="5"/>
  <c r="F3" i="5"/>
  <c r="F4" i="5"/>
  <c r="F5"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3" i="5"/>
  <c r="F74" i="5"/>
  <c r="F75" i="5"/>
  <c r="F76" i="5"/>
  <c r="F77" i="5"/>
  <c r="F78" i="5"/>
  <c r="P5" i="12"/>
  <c r="Q5" i="12"/>
  <c r="R5" i="12"/>
  <c r="S5" i="12"/>
  <c r="T5" i="12"/>
  <c r="P6" i="12"/>
  <c r="Q6" i="12"/>
  <c r="R6" i="12"/>
  <c r="S6" i="12"/>
  <c r="T6" i="12"/>
  <c r="P7" i="12"/>
  <c r="Q7" i="12"/>
  <c r="R7" i="12"/>
  <c r="S7" i="12"/>
  <c r="T7" i="12"/>
  <c r="P8" i="12"/>
  <c r="Q8" i="12"/>
  <c r="R8" i="12"/>
  <c r="S8" i="12"/>
  <c r="T8" i="12"/>
  <c r="P9" i="12"/>
  <c r="Q9" i="12"/>
  <c r="R9" i="12"/>
  <c r="S9" i="12"/>
  <c r="T9" i="12"/>
  <c r="P10" i="12"/>
  <c r="Q10" i="12"/>
  <c r="R10" i="12"/>
  <c r="S10" i="12"/>
  <c r="T10" i="12"/>
  <c r="P11" i="12"/>
  <c r="Q11" i="12"/>
  <c r="R11" i="12"/>
  <c r="S11" i="12"/>
  <c r="T11" i="12"/>
  <c r="P12" i="12"/>
  <c r="Q12" i="12"/>
  <c r="R12" i="12"/>
  <c r="S12" i="12"/>
  <c r="T12" i="12"/>
  <c r="P13" i="12"/>
  <c r="Q13" i="12"/>
  <c r="R13" i="12"/>
  <c r="S13" i="12"/>
  <c r="T13" i="12"/>
  <c r="P14" i="12"/>
  <c r="Q14" i="12"/>
  <c r="R14" i="12"/>
  <c r="S14" i="12"/>
  <c r="T14" i="12"/>
  <c r="P15" i="12"/>
  <c r="Q15" i="12"/>
  <c r="R15" i="12"/>
  <c r="S15" i="12"/>
  <c r="T15" i="12"/>
  <c r="P16" i="12"/>
  <c r="Q16" i="12"/>
  <c r="R16" i="12"/>
  <c r="S16" i="12"/>
  <c r="T16" i="12"/>
  <c r="P17" i="12"/>
  <c r="Q17" i="12"/>
  <c r="R17" i="12"/>
  <c r="S17" i="12"/>
  <c r="T17" i="12"/>
  <c r="P18" i="12"/>
  <c r="Q18" i="12"/>
  <c r="R18" i="12"/>
  <c r="S18" i="12"/>
  <c r="T18" i="12"/>
  <c r="P19" i="12"/>
  <c r="Q19" i="12"/>
  <c r="R19" i="12"/>
  <c r="S19" i="12"/>
  <c r="T19" i="12"/>
  <c r="P20" i="12"/>
  <c r="Q20" i="12"/>
  <c r="R20" i="12"/>
  <c r="S20" i="12"/>
  <c r="T20" i="12"/>
  <c r="P21" i="12"/>
  <c r="Q21" i="12"/>
  <c r="R21" i="12"/>
  <c r="S21" i="12"/>
  <c r="T21" i="12"/>
  <c r="P22" i="12"/>
  <c r="Q22" i="12"/>
  <c r="R22" i="12"/>
  <c r="S22" i="12"/>
  <c r="T22" i="12"/>
  <c r="P23" i="12"/>
  <c r="Q23" i="12"/>
  <c r="R23" i="12"/>
  <c r="S23" i="12"/>
  <c r="T23" i="12"/>
  <c r="P24" i="12"/>
  <c r="Q24" i="12"/>
  <c r="R24" i="12"/>
  <c r="S24" i="12"/>
  <c r="T24" i="12"/>
  <c r="P25" i="12"/>
  <c r="Q25" i="12"/>
  <c r="R25" i="12"/>
  <c r="S25" i="12"/>
  <c r="T25" i="12"/>
  <c r="P26" i="12"/>
  <c r="Q26" i="12"/>
  <c r="R26" i="12"/>
  <c r="S26" i="12"/>
  <c r="T26" i="12"/>
  <c r="P27" i="12"/>
  <c r="Q27" i="12"/>
  <c r="R27" i="12"/>
  <c r="S27" i="12"/>
  <c r="T27" i="12"/>
  <c r="P28" i="12"/>
  <c r="Q28" i="12"/>
  <c r="R28" i="12"/>
  <c r="S28" i="12"/>
  <c r="T28" i="12"/>
  <c r="P29" i="12"/>
  <c r="Q29" i="12"/>
  <c r="R29" i="12"/>
  <c r="S29" i="12"/>
  <c r="T29" i="12"/>
  <c r="P30" i="12"/>
  <c r="Q30" i="12"/>
  <c r="R30" i="12"/>
  <c r="S30" i="12"/>
  <c r="T30" i="12"/>
  <c r="P31" i="12"/>
  <c r="Q31" i="12"/>
  <c r="R31" i="12"/>
  <c r="S31" i="12"/>
  <c r="T31" i="12"/>
  <c r="P32" i="12"/>
  <c r="Q32" i="12"/>
  <c r="R32" i="12"/>
  <c r="S32" i="12"/>
  <c r="T32" i="12"/>
  <c r="P33" i="12"/>
  <c r="Q33" i="12"/>
  <c r="R33" i="12"/>
  <c r="S33" i="12"/>
  <c r="T33" i="12"/>
  <c r="P34" i="12"/>
  <c r="Q34" i="12"/>
  <c r="R34" i="12"/>
  <c r="S34" i="12"/>
  <c r="T34" i="12"/>
  <c r="P35" i="12"/>
  <c r="Q35" i="12"/>
  <c r="R35" i="12"/>
  <c r="S35" i="12"/>
  <c r="T35" i="12"/>
  <c r="P36" i="12"/>
  <c r="Q36" i="12"/>
  <c r="R36" i="12"/>
  <c r="S36" i="12"/>
  <c r="T36" i="12"/>
  <c r="P37" i="12"/>
  <c r="Q37" i="12"/>
  <c r="R37" i="12"/>
  <c r="S37" i="12"/>
  <c r="T37" i="12"/>
  <c r="P38" i="12"/>
  <c r="Q38" i="12"/>
  <c r="R38" i="12"/>
  <c r="S38" i="12"/>
  <c r="T38" i="12"/>
  <c r="P39" i="12"/>
  <c r="Q39" i="12"/>
  <c r="R39" i="12"/>
  <c r="S39" i="12"/>
  <c r="T39" i="12"/>
  <c r="P40" i="12"/>
  <c r="Q40" i="12"/>
  <c r="R40" i="12"/>
  <c r="S40" i="12"/>
  <c r="T40" i="12"/>
  <c r="P41" i="12"/>
  <c r="Q41" i="12"/>
  <c r="R41" i="12"/>
  <c r="S41" i="12"/>
  <c r="T41" i="12"/>
  <c r="P42" i="12"/>
  <c r="Q42" i="12"/>
  <c r="R42" i="12"/>
  <c r="S42" i="12"/>
  <c r="T42" i="12"/>
  <c r="P43" i="12"/>
  <c r="Q43" i="12"/>
  <c r="R43" i="12"/>
  <c r="S43" i="12"/>
  <c r="T43" i="12"/>
  <c r="P44" i="12"/>
  <c r="Q44" i="12"/>
  <c r="R44" i="12"/>
  <c r="S44" i="12"/>
  <c r="T44" i="12"/>
  <c r="P45" i="12"/>
  <c r="Q45" i="12"/>
  <c r="R45" i="12"/>
  <c r="S45" i="12"/>
  <c r="T45" i="12"/>
  <c r="P46" i="12"/>
  <c r="Q46" i="12"/>
  <c r="R46" i="12"/>
  <c r="S46" i="12"/>
  <c r="T46" i="12"/>
  <c r="P47" i="12"/>
  <c r="Q47" i="12"/>
  <c r="R47" i="12"/>
  <c r="S47" i="12"/>
  <c r="T47" i="12"/>
  <c r="P48" i="12"/>
  <c r="Q48" i="12"/>
  <c r="R48" i="12"/>
  <c r="S48" i="12"/>
  <c r="T48" i="12"/>
  <c r="P49" i="12"/>
  <c r="Q49" i="12"/>
  <c r="R49" i="12"/>
  <c r="S49" i="12"/>
  <c r="T49" i="12"/>
  <c r="P50" i="12"/>
  <c r="Q50" i="12"/>
  <c r="R50" i="12"/>
  <c r="S50" i="12"/>
  <c r="T50" i="12"/>
  <c r="P51" i="12"/>
  <c r="Q51" i="12"/>
  <c r="R51" i="12"/>
  <c r="S51" i="12"/>
  <c r="T51" i="12"/>
  <c r="P52" i="12"/>
  <c r="Q52" i="12"/>
  <c r="R52" i="12"/>
  <c r="S52" i="12"/>
  <c r="T52" i="12"/>
  <c r="P53" i="12"/>
  <c r="Q53" i="12"/>
  <c r="R53" i="12"/>
  <c r="S53" i="12"/>
  <c r="T53" i="12"/>
  <c r="P54" i="12"/>
  <c r="Q54" i="12"/>
  <c r="R54" i="12"/>
  <c r="S54" i="12"/>
  <c r="T54" i="12"/>
  <c r="P55" i="12"/>
  <c r="Q55" i="12"/>
  <c r="R55" i="12"/>
  <c r="S55" i="12"/>
  <c r="T55" i="12"/>
  <c r="P56" i="12"/>
  <c r="Q56" i="12"/>
  <c r="R56" i="12"/>
  <c r="S56" i="12"/>
  <c r="T56" i="12"/>
  <c r="P57" i="12"/>
  <c r="Q57" i="12"/>
  <c r="R57" i="12"/>
  <c r="S57" i="12"/>
  <c r="T57" i="12"/>
  <c r="P58" i="12"/>
  <c r="Q58" i="12"/>
  <c r="R58" i="12"/>
  <c r="S58" i="12"/>
  <c r="T58" i="12"/>
  <c r="P59" i="12"/>
  <c r="Q59" i="12"/>
  <c r="R59" i="12"/>
  <c r="S59" i="12"/>
  <c r="T59" i="12"/>
  <c r="P60" i="12"/>
  <c r="Q60" i="12"/>
  <c r="R60" i="12"/>
  <c r="S60" i="12"/>
  <c r="T60" i="12"/>
  <c r="P61" i="12"/>
  <c r="Q61" i="12"/>
  <c r="R61" i="12"/>
  <c r="S61" i="12"/>
  <c r="T61" i="12"/>
  <c r="P62" i="12"/>
  <c r="Q62" i="12"/>
  <c r="R62" i="12"/>
  <c r="S62" i="12"/>
  <c r="T62" i="12"/>
  <c r="P63" i="12"/>
  <c r="Q63" i="12"/>
  <c r="R63" i="12"/>
  <c r="S63" i="12"/>
  <c r="T63" i="12"/>
  <c r="P64" i="12"/>
  <c r="Q64" i="12"/>
  <c r="R64" i="12"/>
  <c r="S64" i="12"/>
  <c r="T64" i="12"/>
  <c r="P65" i="12"/>
  <c r="Q65" i="12"/>
  <c r="R65" i="12"/>
  <c r="S65" i="12"/>
  <c r="T65" i="12"/>
  <c r="P66" i="12"/>
  <c r="Q66" i="12"/>
  <c r="R66" i="12"/>
  <c r="S66" i="12"/>
  <c r="T66" i="12"/>
  <c r="P67" i="12"/>
  <c r="Q67" i="12"/>
  <c r="R67" i="12"/>
  <c r="S67" i="12"/>
  <c r="T67" i="12"/>
  <c r="P68" i="12"/>
  <c r="Q68" i="12"/>
  <c r="R68" i="12"/>
  <c r="S68" i="12"/>
  <c r="T68" i="12"/>
  <c r="P69" i="12"/>
  <c r="Q69" i="12"/>
  <c r="R69" i="12"/>
  <c r="S69" i="12"/>
  <c r="T69" i="12"/>
  <c r="P70" i="12"/>
  <c r="Q70" i="12"/>
  <c r="R70" i="12"/>
  <c r="S70" i="12"/>
  <c r="T70" i="12"/>
  <c r="P71" i="12"/>
  <c r="Q71" i="12"/>
  <c r="R71" i="12"/>
  <c r="S71" i="12"/>
  <c r="T71" i="12"/>
  <c r="P72" i="12"/>
  <c r="Q72" i="12"/>
  <c r="R72" i="12"/>
  <c r="S72" i="12"/>
  <c r="T72" i="12"/>
  <c r="P73" i="12"/>
  <c r="Q73" i="12"/>
  <c r="R73" i="12"/>
  <c r="S73" i="12"/>
  <c r="T73" i="12"/>
  <c r="P74" i="12"/>
  <c r="Q74" i="12"/>
  <c r="R74" i="12"/>
  <c r="S74" i="12"/>
  <c r="T74" i="12"/>
  <c r="P75" i="12"/>
  <c r="Q75" i="12"/>
  <c r="R75" i="12"/>
  <c r="S75" i="12"/>
  <c r="T75" i="12"/>
  <c r="P76" i="12"/>
  <c r="Q76" i="12"/>
  <c r="R76" i="12"/>
  <c r="S76" i="12"/>
  <c r="T76" i="12"/>
  <c r="P77" i="12"/>
  <c r="Q77" i="12"/>
  <c r="R77" i="12"/>
  <c r="S77" i="12"/>
  <c r="T77" i="12"/>
  <c r="P78" i="12"/>
  <c r="Q78" i="12"/>
  <c r="R78" i="12"/>
  <c r="S78" i="12"/>
  <c r="T78" i="12"/>
  <c r="P79" i="12"/>
  <c r="Q79" i="12"/>
  <c r="R79" i="12"/>
  <c r="S79" i="12"/>
  <c r="T79" i="12"/>
  <c r="P80" i="12"/>
  <c r="Q80" i="12"/>
  <c r="R80" i="12"/>
  <c r="S80" i="12"/>
  <c r="T80" i="12"/>
  <c r="P81" i="12"/>
  <c r="Q81" i="12"/>
  <c r="R81" i="12"/>
  <c r="S81" i="12"/>
  <c r="T81" i="12"/>
  <c r="P82" i="12"/>
  <c r="Q82" i="12"/>
  <c r="R82" i="12"/>
  <c r="S82" i="12"/>
  <c r="T82" i="12"/>
  <c r="P83" i="12"/>
  <c r="Q83" i="12"/>
  <c r="R83" i="12"/>
  <c r="S83" i="12"/>
  <c r="T83" i="12"/>
  <c r="P84" i="12"/>
  <c r="Q84" i="12"/>
  <c r="R84" i="12"/>
  <c r="S84" i="12"/>
  <c r="T84" i="12"/>
  <c r="P85" i="12"/>
  <c r="Q85" i="12"/>
  <c r="R85" i="12"/>
  <c r="S85" i="12"/>
  <c r="T85" i="12"/>
  <c r="P86" i="12"/>
  <c r="Q86" i="12"/>
  <c r="R86" i="12"/>
  <c r="S86" i="12"/>
  <c r="T86" i="12"/>
  <c r="P87" i="12"/>
  <c r="Q87" i="12"/>
  <c r="R87" i="12"/>
  <c r="S87" i="12"/>
  <c r="T87" i="12"/>
  <c r="P88" i="12"/>
  <c r="Q88" i="12"/>
  <c r="R88" i="12"/>
  <c r="S88" i="12"/>
  <c r="T88" i="12"/>
  <c r="P89" i="12"/>
  <c r="Q89" i="12"/>
  <c r="R89" i="12"/>
  <c r="S89" i="12"/>
  <c r="T89" i="12"/>
  <c r="P90" i="12"/>
  <c r="Q90" i="12"/>
  <c r="R90" i="12"/>
  <c r="S90" i="12"/>
  <c r="T90" i="12"/>
  <c r="P91" i="12"/>
  <c r="Q91" i="12"/>
  <c r="R91" i="12"/>
  <c r="S91" i="12"/>
  <c r="T91" i="12"/>
  <c r="P92" i="12"/>
  <c r="Q92" i="12"/>
  <c r="R92" i="12"/>
  <c r="S92" i="12"/>
  <c r="T92" i="12"/>
  <c r="P93" i="12"/>
  <c r="Q93" i="12"/>
  <c r="R93" i="12"/>
  <c r="S93" i="12"/>
  <c r="T93" i="12"/>
  <c r="P94" i="12"/>
  <c r="Q94" i="12"/>
  <c r="R94" i="12"/>
  <c r="S94" i="12"/>
  <c r="T94" i="12"/>
  <c r="P95" i="12"/>
  <c r="Q95" i="12"/>
  <c r="R95" i="12"/>
  <c r="S95" i="12"/>
  <c r="T95" i="12"/>
  <c r="P96" i="12"/>
  <c r="Q96" i="12"/>
  <c r="R96" i="12"/>
  <c r="S96" i="12"/>
  <c r="T96" i="12"/>
  <c r="P97" i="12"/>
  <c r="Q97" i="12"/>
  <c r="R97" i="12"/>
  <c r="S97" i="12"/>
  <c r="T97" i="12"/>
  <c r="P98" i="12"/>
  <c r="Q98" i="12"/>
  <c r="R98" i="12"/>
  <c r="S98" i="12"/>
  <c r="T98" i="12"/>
  <c r="P99" i="12"/>
  <c r="Q99" i="12"/>
  <c r="R99" i="12"/>
  <c r="S99" i="12"/>
  <c r="T99" i="12"/>
  <c r="P100" i="12"/>
  <c r="Q100" i="12"/>
  <c r="R100" i="12"/>
  <c r="S100" i="12"/>
  <c r="T100" i="12"/>
  <c r="P101" i="12"/>
  <c r="Q101" i="12"/>
  <c r="R101" i="12"/>
  <c r="S101" i="12"/>
  <c r="T101" i="12"/>
  <c r="P102" i="12"/>
  <c r="Q102" i="12"/>
  <c r="R102" i="12"/>
  <c r="S102" i="12"/>
  <c r="T102" i="12"/>
  <c r="P103" i="12"/>
  <c r="Q103" i="12"/>
  <c r="R103" i="12"/>
  <c r="S103" i="12"/>
  <c r="T103" i="12"/>
  <c r="T4" i="12"/>
  <c r="S4" i="12"/>
  <c r="R4" i="12"/>
  <c r="Q4" i="12"/>
  <c r="O5" i="9"/>
  <c r="P5" i="9"/>
  <c r="Q5" i="7"/>
  <c r="Y4" i="12"/>
  <c r="Z4" i="12"/>
  <c r="AA4" i="12"/>
  <c r="X5" i="12"/>
  <c r="Y5" i="12"/>
  <c r="Z5" i="12"/>
  <c r="AA5" i="12"/>
  <c r="X6" i="12"/>
  <c r="Y6" i="12"/>
  <c r="Z6" i="12"/>
  <c r="AA6" i="12"/>
  <c r="X7" i="12"/>
  <c r="Y7" i="12"/>
  <c r="Z7" i="12"/>
  <c r="AA7" i="12"/>
  <c r="X8" i="12"/>
  <c r="Y8" i="12"/>
  <c r="Z8" i="12"/>
  <c r="AA8" i="12"/>
  <c r="X9" i="12"/>
  <c r="Y9" i="12"/>
  <c r="Z9" i="12"/>
  <c r="AA9" i="12"/>
  <c r="X10" i="12"/>
  <c r="Y10" i="12"/>
  <c r="Z10" i="12"/>
  <c r="AA10" i="12"/>
  <c r="X11" i="12"/>
  <c r="Y11" i="12"/>
  <c r="Z11" i="12"/>
  <c r="AA11" i="12"/>
  <c r="X12" i="12"/>
  <c r="Y12" i="12"/>
  <c r="Z12" i="12"/>
  <c r="AA12" i="12"/>
  <c r="X13" i="12"/>
  <c r="Y13" i="12"/>
  <c r="Z13" i="12"/>
  <c r="AA13" i="12"/>
  <c r="X14" i="12"/>
  <c r="Y14" i="12"/>
  <c r="Z14" i="12"/>
  <c r="AA14" i="12"/>
  <c r="X15" i="12"/>
  <c r="Y15" i="12"/>
  <c r="Z15" i="12"/>
  <c r="AA15" i="12"/>
  <c r="X16" i="12"/>
  <c r="Y16" i="12"/>
  <c r="Z16" i="12"/>
  <c r="AA16" i="12"/>
  <c r="X17" i="12"/>
  <c r="Y17" i="12"/>
  <c r="Z17" i="12"/>
  <c r="AA17" i="12"/>
  <c r="X18" i="12"/>
  <c r="Y18" i="12"/>
  <c r="Z18" i="12"/>
  <c r="AA18" i="12"/>
  <c r="X19" i="12"/>
  <c r="Y19" i="12"/>
  <c r="Z19" i="12"/>
  <c r="AA19" i="12"/>
  <c r="X20" i="12"/>
  <c r="Y20" i="12"/>
  <c r="Z20" i="12"/>
  <c r="AA20" i="12"/>
  <c r="X21" i="12"/>
  <c r="Y21" i="12"/>
  <c r="Z21" i="12"/>
  <c r="AA21" i="12"/>
  <c r="X22" i="12"/>
  <c r="Y22" i="12"/>
  <c r="Z22" i="12"/>
  <c r="AA22" i="12"/>
  <c r="X23" i="12"/>
  <c r="Y23" i="12"/>
  <c r="Z23" i="12"/>
  <c r="AA23" i="12"/>
  <c r="X24" i="12"/>
  <c r="Y24" i="12"/>
  <c r="Z24" i="12"/>
  <c r="AA24" i="12"/>
  <c r="X25" i="12"/>
  <c r="Y25" i="12"/>
  <c r="Z25" i="12"/>
  <c r="AA25" i="12"/>
  <c r="X26" i="12"/>
  <c r="Y26" i="12"/>
  <c r="Z26" i="12"/>
  <c r="AA26" i="12"/>
  <c r="X27" i="12"/>
  <c r="Y27" i="12"/>
  <c r="Z27" i="12"/>
  <c r="AA27" i="12"/>
  <c r="X28" i="12"/>
  <c r="Y28" i="12"/>
  <c r="Z28" i="12"/>
  <c r="AA28" i="12"/>
  <c r="X29" i="12"/>
  <c r="Y29" i="12"/>
  <c r="Z29" i="12"/>
  <c r="AA29" i="12"/>
  <c r="X30" i="12"/>
  <c r="Y30" i="12"/>
  <c r="Z30" i="12"/>
  <c r="AA30" i="12"/>
  <c r="X31" i="12"/>
  <c r="Y31" i="12"/>
  <c r="Z31" i="12"/>
  <c r="AA31" i="12"/>
  <c r="X32" i="12"/>
  <c r="Y32" i="12"/>
  <c r="Z32" i="12"/>
  <c r="AA32" i="12"/>
  <c r="X33" i="12"/>
  <c r="Y33" i="12"/>
  <c r="Z33" i="12"/>
  <c r="AA33" i="12"/>
  <c r="X34" i="12"/>
  <c r="Y34" i="12"/>
  <c r="Z34" i="12"/>
  <c r="AA34" i="12"/>
  <c r="X35" i="12"/>
  <c r="Y35" i="12"/>
  <c r="Z35" i="12"/>
  <c r="AA35" i="12"/>
  <c r="X36" i="12"/>
  <c r="Y36" i="12"/>
  <c r="Z36" i="12"/>
  <c r="AA36" i="12"/>
  <c r="X37" i="12"/>
  <c r="Y37" i="12"/>
  <c r="Z37" i="12"/>
  <c r="AA37" i="12"/>
  <c r="X38" i="12"/>
  <c r="Y38" i="12"/>
  <c r="Z38" i="12"/>
  <c r="AA38" i="12"/>
  <c r="X39" i="12"/>
  <c r="Y39" i="12"/>
  <c r="Z39" i="12"/>
  <c r="AA39" i="12"/>
  <c r="X40" i="12"/>
  <c r="Y40" i="12"/>
  <c r="Z40" i="12"/>
  <c r="AA40" i="12"/>
  <c r="X41" i="12"/>
  <c r="Y41" i="12"/>
  <c r="Z41" i="12"/>
  <c r="AA41" i="12"/>
  <c r="X42" i="12"/>
  <c r="Y42" i="12"/>
  <c r="Z42" i="12"/>
  <c r="AA42" i="12"/>
  <c r="X43" i="12"/>
  <c r="Y43" i="12"/>
  <c r="Z43" i="12"/>
  <c r="AA43" i="12"/>
  <c r="X44" i="12"/>
  <c r="Y44" i="12"/>
  <c r="Z44" i="12"/>
  <c r="AA44" i="12"/>
  <c r="X45" i="12"/>
  <c r="Y45" i="12"/>
  <c r="Z45" i="12"/>
  <c r="AA45" i="12"/>
  <c r="X46" i="12"/>
  <c r="Y46" i="12"/>
  <c r="Z46" i="12"/>
  <c r="AA46" i="12"/>
  <c r="X47" i="12"/>
  <c r="Y47" i="12"/>
  <c r="Z47" i="12"/>
  <c r="AA47" i="12"/>
  <c r="X48" i="12"/>
  <c r="Y48" i="12"/>
  <c r="Z48" i="12"/>
  <c r="AA48" i="12"/>
  <c r="X49" i="12"/>
  <c r="Y49" i="12"/>
  <c r="Z49" i="12"/>
  <c r="AA49" i="12"/>
  <c r="X50" i="12"/>
  <c r="Y50" i="12"/>
  <c r="Z50" i="12"/>
  <c r="AA50" i="12"/>
  <c r="X51" i="12"/>
  <c r="Y51" i="12"/>
  <c r="Z51" i="12"/>
  <c r="AA51" i="12"/>
  <c r="X52" i="12"/>
  <c r="Y52" i="12"/>
  <c r="Z52" i="12"/>
  <c r="AA52" i="12"/>
  <c r="X53" i="12"/>
  <c r="Y53" i="12"/>
  <c r="Z53" i="12"/>
  <c r="AA53" i="12"/>
  <c r="X54" i="12"/>
  <c r="Y54" i="12"/>
  <c r="Z54" i="12"/>
  <c r="AA54" i="12"/>
  <c r="X55" i="12"/>
  <c r="Y55" i="12"/>
  <c r="Z55" i="12"/>
  <c r="AA55" i="12"/>
  <c r="X56" i="12"/>
  <c r="Y56" i="12"/>
  <c r="Z56" i="12"/>
  <c r="AA56" i="12"/>
  <c r="X57" i="12"/>
  <c r="Y57" i="12"/>
  <c r="Z57" i="12"/>
  <c r="AA57" i="12"/>
  <c r="X58" i="12"/>
  <c r="Y58" i="12"/>
  <c r="Z58" i="12"/>
  <c r="AA58" i="12"/>
  <c r="X59" i="12"/>
  <c r="Y59" i="12"/>
  <c r="Z59" i="12"/>
  <c r="AA59" i="12"/>
  <c r="X60" i="12"/>
  <c r="Y60" i="12"/>
  <c r="Z60" i="12"/>
  <c r="AA60" i="12"/>
  <c r="X61" i="12"/>
  <c r="Y61" i="12"/>
  <c r="Z61" i="12"/>
  <c r="AA61" i="12"/>
  <c r="X62" i="12"/>
  <c r="Y62" i="12"/>
  <c r="Z62" i="12"/>
  <c r="AA62" i="12"/>
  <c r="X63" i="12"/>
  <c r="Y63" i="12"/>
  <c r="Z63" i="12"/>
  <c r="AA63" i="12"/>
  <c r="X64" i="12"/>
  <c r="Y64" i="12"/>
  <c r="Z64" i="12"/>
  <c r="AA64" i="12"/>
  <c r="X65" i="12"/>
  <c r="Y65" i="12"/>
  <c r="Z65" i="12"/>
  <c r="AA65" i="12"/>
  <c r="X66" i="12"/>
  <c r="Y66" i="12"/>
  <c r="Z66" i="12"/>
  <c r="AA66" i="12"/>
  <c r="X67" i="12"/>
  <c r="Y67" i="12"/>
  <c r="Z67" i="12"/>
  <c r="AA67" i="12"/>
  <c r="X68" i="12"/>
  <c r="Y68" i="12"/>
  <c r="Z68" i="12"/>
  <c r="AA68" i="12"/>
  <c r="X69" i="12"/>
  <c r="Y69" i="12"/>
  <c r="Z69" i="12"/>
  <c r="AA69" i="12"/>
  <c r="X70" i="12"/>
  <c r="Y70" i="12"/>
  <c r="Z70" i="12"/>
  <c r="AA70" i="12"/>
  <c r="X71" i="12"/>
  <c r="Y71" i="12"/>
  <c r="Z71" i="12"/>
  <c r="AA71" i="12"/>
  <c r="X72" i="12"/>
  <c r="Y72" i="12"/>
  <c r="Z72" i="12"/>
  <c r="AA72" i="12"/>
  <c r="X73" i="12"/>
  <c r="Y73" i="12"/>
  <c r="Z73" i="12"/>
  <c r="AA73" i="12"/>
  <c r="X74" i="12"/>
  <c r="Y74" i="12"/>
  <c r="Z74" i="12"/>
  <c r="AA74" i="12"/>
  <c r="X75" i="12"/>
  <c r="Y75" i="12"/>
  <c r="Z75" i="12"/>
  <c r="AA75" i="12"/>
  <c r="X76" i="12"/>
  <c r="Y76" i="12"/>
  <c r="Z76" i="12"/>
  <c r="AA76" i="12"/>
  <c r="X77" i="12"/>
  <c r="Y77" i="12"/>
  <c r="Z77" i="12"/>
  <c r="AA77" i="12"/>
  <c r="X78" i="12"/>
  <c r="Y78" i="12"/>
  <c r="Z78" i="12"/>
  <c r="AA78" i="12"/>
  <c r="X79" i="12"/>
  <c r="Y79" i="12"/>
  <c r="Z79" i="12"/>
  <c r="AA79" i="12"/>
  <c r="X80" i="12"/>
  <c r="Y80" i="12"/>
  <c r="Z80" i="12"/>
  <c r="AA80" i="12"/>
  <c r="X81" i="12"/>
  <c r="Y81" i="12"/>
  <c r="Z81" i="12"/>
  <c r="AA81" i="12"/>
  <c r="X82" i="12"/>
  <c r="Y82" i="12"/>
  <c r="Z82" i="12"/>
  <c r="AA82" i="12"/>
  <c r="X83" i="12"/>
  <c r="Y83" i="12"/>
  <c r="Z83" i="12"/>
  <c r="AA83" i="12"/>
  <c r="X84" i="12"/>
  <c r="Y84" i="12"/>
  <c r="Z84" i="12"/>
  <c r="AA84" i="12"/>
  <c r="X85" i="12"/>
  <c r="Y85" i="12"/>
  <c r="Z85" i="12"/>
  <c r="AA85" i="12"/>
  <c r="X86" i="12"/>
  <c r="Y86" i="12"/>
  <c r="Z86" i="12"/>
  <c r="AA86" i="12"/>
  <c r="X87" i="12"/>
  <c r="Y87" i="12"/>
  <c r="Z87" i="12"/>
  <c r="AA87" i="12"/>
  <c r="X88" i="12"/>
  <c r="Y88" i="12"/>
  <c r="Z88" i="12"/>
  <c r="AA88" i="12"/>
  <c r="X89" i="12"/>
  <c r="Y89" i="12"/>
  <c r="Z89" i="12"/>
  <c r="AA89" i="12"/>
  <c r="X90" i="12"/>
  <c r="Y90" i="12"/>
  <c r="Z90" i="12"/>
  <c r="AA90" i="12"/>
  <c r="X91" i="12"/>
  <c r="Y91" i="12"/>
  <c r="Z91" i="12"/>
  <c r="AA91" i="12"/>
  <c r="X92" i="12"/>
  <c r="Y92" i="12"/>
  <c r="Z92" i="12"/>
  <c r="AA92" i="12"/>
  <c r="X93" i="12"/>
  <c r="Y93" i="12"/>
  <c r="Z93" i="12"/>
  <c r="AA93" i="12"/>
  <c r="X94" i="12"/>
  <c r="Y94" i="12"/>
  <c r="Z94" i="12"/>
  <c r="AA94" i="12"/>
  <c r="X95" i="12"/>
  <c r="Y95" i="12"/>
  <c r="Z95" i="12"/>
  <c r="AA95" i="12"/>
  <c r="X96" i="12"/>
  <c r="Y96" i="12"/>
  <c r="Z96" i="12"/>
  <c r="AA96" i="12"/>
  <c r="X97" i="12"/>
  <c r="Y97" i="12"/>
  <c r="Z97" i="12"/>
  <c r="AA97" i="12"/>
  <c r="X98" i="12"/>
  <c r="Y98" i="12"/>
  <c r="Z98" i="12"/>
  <c r="AA98" i="12"/>
  <c r="X99" i="12"/>
  <c r="Y99" i="12"/>
  <c r="Z99" i="12"/>
  <c r="AA99" i="12"/>
  <c r="X100" i="12"/>
  <c r="Y100" i="12"/>
  <c r="Z100" i="12"/>
  <c r="AA100" i="12"/>
  <c r="X101" i="12"/>
  <c r="Y101" i="12"/>
  <c r="Z101" i="12"/>
  <c r="AA101" i="12"/>
  <c r="X102" i="12"/>
  <c r="Y102" i="12"/>
  <c r="Z102" i="12"/>
  <c r="AA102" i="12"/>
  <c r="X103" i="12"/>
  <c r="Y103" i="12"/>
  <c r="Z103" i="12"/>
  <c r="AA103" i="12"/>
  <c r="H2" i="11"/>
  <c r="I2" i="11"/>
  <c r="J2" i="11"/>
  <c r="K2" i="11"/>
  <c r="Q5" i="9"/>
  <c r="AH16" i="12"/>
  <c r="AI12" i="12"/>
  <c r="M5" i="11"/>
  <c r="M7" i="11"/>
  <c r="M8" i="11"/>
  <c r="AD51" i="12"/>
  <c r="AK28" i="12"/>
  <c r="AE8" i="12"/>
  <c r="V43" i="12"/>
  <c r="AF98" i="12"/>
  <c r="AE80" i="12"/>
  <c r="AD40" i="12"/>
  <c r="AC34" i="12"/>
  <c r="AJ28" i="12"/>
  <c r="AI26" i="12"/>
  <c r="AJ24" i="12"/>
  <c r="AJ22" i="12"/>
  <c r="AK20" i="12"/>
  <c r="AJ18" i="12"/>
  <c r="AE16" i="12"/>
  <c r="AC14" i="12"/>
  <c r="AH95" i="12"/>
  <c r="AD63" i="12"/>
  <c r="AF47" i="12"/>
  <c r="V102" i="12"/>
  <c r="AC35" i="12"/>
  <c r="AI33" i="12"/>
  <c r="AH27" i="12"/>
  <c r="AD25" i="12"/>
  <c r="AE23" i="12"/>
  <c r="AK21" i="12"/>
  <c r="AD15" i="12"/>
  <c r="AH13" i="12"/>
  <c r="AH12" i="12"/>
  <c r="AI10" i="12"/>
  <c r="AK6" i="12"/>
  <c r="AD4" i="12"/>
  <c r="AF10" i="12"/>
  <c r="AH26" i="12"/>
  <c r="AF6" i="12"/>
  <c r="AD26" i="12"/>
  <c r="AE12" i="12"/>
  <c r="AI99" i="12"/>
  <c r="AE97" i="12"/>
  <c r="AJ89" i="12"/>
  <c r="V32" i="12"/>
  <c r="AF88" i="12"/>
  <c r="AC70" i="12"/>
  <c r="AJ11" i="12"/>
  <c r="AJ9" i="12"/>
  <c r="AH7" i="12"/>
  <c r="AJ5" i="12"/>
  <c r="V87" i="12"/>
  <c r="V77" i="12"/>
  <c r="V53" i="12"/>
  <c r="AD10" i="12"/>
  <c r="AE86" i="12"/>
  <c r="AE82" i="12"/>
  <c r="AH6" i="12"/>
  <c r="AF16" i="12"/>
  <c r="AD98" i="12"/>
  <c r="AD24" i="12"/>
  <c r="AI16" i="12"/>
  <c r="AD28" i="12"/>
  <c r="AE27" i="12"/>
  <c r="AF99" i="12"/>
  <c r="AF63" i="12"/>
  <c r="AE59" i="12"/>
  <c r="AF55" i="12"/>
  <c r="AI53" i="12"/>
  <c r="AD33" i="12"/>
  <c r="AF97" i="12"/>
  <c r="AD102" i="12"/>
  <c r="AC17" i="12"/>
  <c r="AI15" i="12"/>
  <c r="AI13" i="12"/>
  <c r="AD11" i="12"/>
  <c r="AI9" i="12"/>
  <c r="AE7" i="12"/>
  <c r="AK5" i="12"/>
  <c r="V66" i="12"/>
  <c r="V21" i="12"/>
  <c r="AE35" i="12"/>
  <c r="AF12" i="12"/>
  <c r="AC46" i="12"/>
  <c r="AE18" i="12"/>
  <c r="AD16" i="12"/>
  <c r="AD14" i="12"/>
  <c r="AI8" i="12"/>
  <c r="AD6" i="12"/>
  <c r="AE48" i="12"/>
  <c r="AH100" i="12"/>
  <c r="AD72" i="12"/>
  <c r="AH64" i="12"/>
  <c r="AH62" i="12"/>
  <c r="AH58" i="12"/>
  <c r="AH48" i="12"/>
  <c r="AF46" i="12"/>
  <c r="AE40" i="12"/>
  <c r="AF26" i="12"/>
  <c r="AD76" i="12"/>
  <c r="AC85" i="12"/>
  <c r="AF81" i="12"/>
  <c r="AD47" i="12"/>
  <c r="AH38" i="12"/>
  <c r="AC36" i="12"/>
  <c r="V74" i="12"/>
  <c r="V58" i="12"/>
  <c r="V50" i="12"/>
  <c r="V37" i="12"/>
  <c r="V29" i="12"/>
  <c r="V23" i="12"/>
  <c r="AJ64" i="12"/>
  <c r="AF13" i="12"/>
  <c r="AC16" i="12"/>
  <c r="AM16" i="12"/>
  <c r="AR16" i="12"/>
  <c r="AE13" i="12"/>
  <c r="AE75" i="12"/>
  <c r="AD13" i="12"/>
  <c r="AF24" i="12"/>
  <c r="AD99" i="12"/>
  <c r="AC6" i="12"/>
  <c r="AC38" i="12"/>
  <c r="AE6" i="12"/>
  <c r="AE11" i="12"/>
  <c r="AF15" i="12"/>
  <c r="AF23" i="12"/>
  <c r="AI46" i="12"/>
  <c r="AC103" i="12"/>
  <c r="AC88" i="12"/>
  <c r="AE74" i="12"/>
  <c r="AC39" i="12"/>
  <c r="AE25" i="12"/>
  <c r="AF21" i="12"/>
  <c r="AC15" i="12"/>
  <c r="AC25" i="12"/>
  <c r="AF9" i="12"/>
  <c r="AC89" i="12"/>
  <c r="V90" i="12"/>
  <c r="V13" i="12"/>
  <c r="V10" i="12"/>
  <c r="V8" i="12"/>
  <c r="V5" i="12"/>
  <c r="V93" i="12"/>
  <c r="V82" i="12"/>
  <c r="V61" i="12"/>
  <c r="V47" i="12"/>
  <c r="V42" i="12"/>
  <c r="V31" i="12"/>
  <c r="V18" i="12"/>
  <c r="V101" i="12"/>
  <c r="V63" i="12"/>
  <c r="V55" i="12"/>
  <c r="V48" i="12"/>
  <c r="V40" i="12"/>
  <c r="V34" i="12"/>
  <c r="V26" i="12"/>
  <c r="V15" i="12"/>
  <c r="AD35" i="12"/>
  <c r="AC11" i="12"/>
  <c r="AH25" i="12"/>
  <c r="AF30" i="12"/>
  <c r="AH8" i="12"/>
  <c r="AC12" i="12"/>
  <c r="AM12" i="12"/>
  <c r="AR12" i="12"/>
  <c r="AK13" i="12"/>
  <c r="AP13" i="12"/>
  <c r="AI97" i="12"/>
  <c r="AE36" i="12"/>
  <c r="AH9" i="12"/>
  <c r="AH15" i="12"/>
  <c r="AI38" i="12"/>
  <c r="V98" i="12"/>
  <c r="V79" i="12"/>
  <c r="V71" i="12"/>
  <c r="V45" i="12"/>
  <c r="V39" i="12"/>
  <c r="V24" i="12"/>
  <c r="V16" i="12"/>
  <c r="AD7" i="12"/>
  <c r="AK16" i="12"/>
  <c r="AK15" i="12"/>
  <c r="V94" i="12"/>
  <c r="V91" i="12"/>
  <c r="V89" i="12"/>
  <c r="V86" i="12"/>
  <c r="V83" i="12"/>
  <c r="V81" i="12"/>
  <c r="V78" i="12"/>
  <c r="V73" i="12"/>
  <c r="V70" i="12"/>
  <c r="V67" i="12"/>
  <c r="V65" i="12"/>
  <c r="V62" i="12"/>
  <c r="V59" i="12"/>
  <c r="V57" i="12"/>
  <c r="V54" i="12"/>
  <c r="V52" i="12"/>
  <c r="V51" i="12"/>
  <c r="V46" i="12"/>
  <c r="V41" i="12"/>
  <c r="V38" i="12"/>
  <c r="V36" i="12"/>
  <c r="V35" i="12"/>
  <c r="V33" i="12"/>
  <c r="V30" i="12"/>
  <c r="V28" i="12"/>
  <c r="V27" i="12"/>
  <c r="V25" i="12"/>
  <c r="V22" i="12"/>
  <c r="V20" i="12"/>
  <c r="V19" i="12"/>
  <c r="V17" i="12"/>
  <c r="V14" i="12"/>
  <c r="V12" i="12"/>
  <c r="V9" i="12"/>
  <c r="V6" i="12"/>
  <c r="AC86" i="12"/>
  <c r="AD82" i="12"/>
  <c r="AF64" i="12"/>
  <c r="AI58" i="12"/>
  <c r="AI54" i="12"/>
  <c r="AE29" i="12"/>
  <c r="AK27" i="12"/>
  <c r="AH23" i="12"/>
  <c r="AC5" i="12"/>
  <c r="AH99" i="12"/>
  <c r="AK97" i="12"/>
  <c r="AC77" i="12"/>
  <c r="AC76" i="12"/>
  <c r="AK72" i="12"/>
  <c r="AE44" i="12"/>
  <c r="AJ31" i="12"/>
  <c r="AK9" i="12"/>
  <c r="AI91" i="12"/>
  <c r="AE50" i="12"/>
  <c r="AH46" i="12"/>
  <c r="AH81" i="12"/>
  <c r="AH55" i="12"/>
  <c r="AJ52" i="12"/>
  <c r="AK34" i="12"/>
  <c r="AC28" i="12"/>
  <c r="AC22" i="12"/>
  <c r="AD96" i="12"/>
  <c r="AC43" i="12"/>
  <c r="AI98" i="12"/>
  <c r="AI90" i="12"/>
  <c r="AC59" i="12"/>
  <c r="AK41" i="12"/>
  <c r="AI18" i="12"/>
  <c r="AD78" i="12"/>
  <c r="AF51" i="12"/>
  <c r="AJ49" i="12"/>
  <c r="AI27" i="12"/>
  <c r="AI21" i="12"/>
  <c r="AF4" i="12"/>
  <c r="U5" i="7"/>
  <c r="AF17" i="12"/>
  <c r="AE17" i="12"/>
  <c r="AI17" i="12"/>
  <c r="AH17" i="12"/>
  <c r="V75" i="12"/>
  <c r="AD21" i="12"/>
  <c r="AC31" i="12"/>
  <c r="AI43" i="12"/>
  <c r="AK39" i="12"/>
  <c r="AD31" i="12"/>
  <c r="AD22" i="12"/>
  <c r="AE31" i="12"/>
  <c r="AH44" i="12"/>
  <c r="AF59" i="12"/>
  <c r="AH31" i="12"/>
  <c r="AE55" i="12"/>
  <c r="AD55" i="12"/>
  <c r="AJ4" i="12"/>
  <c r="AF94" i="12"/>
  <c r="AK42" i="12"/>
  <c r="AE42" i="12"/>
  <c r="AC42" i="12"/>
  <c r="AI42" i="12"/>
  <c r="AI29" i="12"/>
  <c r="AC29" i="12"/>
  <c r="AH20" i="12"/>
  <c r="AJ20" i="12"/>
  <c r="AC20" i="12"/>
  <c r="AE20" i="12"/>
  <c r="V11" i="12"/>
  <c r="V7" i="12"/>
  <c r="AC4" i="12"/>
  <c r="AI49" i="12"/>
  <c r="AI76" i="12"/>
  <c r="AJ29" i="12"/>
  <c r="AH18" i="12"/>
  <c r="AK29" i="12"/>
  <c r="AH39" i="12"/>
  <c r="AF87" i="12"/>
  <c r="AJ79" i="12"/>
  <c r="AK32" i="12"/>
  <c r="AC32" i="12"/>
  <c r="AE32" i="12"/>
  <c r="AJ32" i="12"/>
  <c r="AK30" i="12"/>
  <c r="AD30" i="12"/>
  <c r="AH19" i="12"/>
  <c r="AJ8" i="12"/>
  <c r="AK18" i="12"/>
  <c r="AI72" i="12"/>
  <c r="AC30" i="12"/>
  <c r="AJ44" i="12"/>
  <c r="AJ96" i="12"/>
  <c r="AE96" i="12"/>
  <c r="AF31" i="12"/>
  <c r="AJ6" i="12"/>
  <c r="AD17" i="12"/>
  <c r="AK17" i="12"/>
  <c r="AI19" i="12"/>
  <c r="AF29" i="12"/>
  <c r="AD20" i="12"/>
  <c r="AN20" i="12"/>
  <c r="AJ17" i="12"/>
  <c r="AK44" i="12"/>
  <c r="AJ95" i="12"/>
  <c r="AC95" i="12"/>
  <c r="AK93" i="12"/>
  <c r="AJ92" i="12"/>
  <c r="AC92" i="12"/>
  <c r="AK81" i="12"/>
  <c r="AP81" i="12"/>
  <c r="AI62" i="12"/>
  <c r="AJ60" i="12"/>
  <c r="AH60" i="12"/>
  <c r="AC58" i="12"/>
  <c r="AE54" i="12"/>
  <c r="AF53" i="12"/>
  <c r="AJ47" i="12"/>
  <c r="AI47" i="12"/>
  <c r="AJ45" i="12"/>
  <c r="AF45" i="12"/>
  <c r="AH43" i="12"/>
  <c r="AK36" i="12"/>
  <c r="AJ36" i="12"/>
  <c r="AK33" i="12"/>
  <c r="AC33" i="12"/>
  <c r="AH33" i="12"/>
  <c r="AC26" i="12"/>
  <c r="AJ26" i="12"/>
  <c r="AE22" i="12"/>
  <c r="AE14" i="12"/>
  <c r="AK14" i="12"/>
  <c r="AJ14" i="12"/>
  <c r="AF14" i="12"/>
  <c r="AJ10" i="12"/>
  <c r="AK10" i="12"/>
  <c r="AE10" i="12"/>
  <c r="AJ7" i="12"/>
  <c r="AI7" i="12"/>
  <c r="AF7" i="12"/>
  <c r="AK7" i="12"/>
  <c r="AK4" i="12"/>
  <c r="V97" i="12"/>
  <c r="V85" i="12"/>
  <c r="V69" i="12"/>
  <c r="V49" i="12"/>
  <c r="V44" i="12"/>
  <c r="AC9" i="12"/>
  <c r="AC10" i="12"/>
  <c r="AC19" i="12"/>
  <c r="AI30" i="12"/>
  <c r="AD32" i="12"/>
  <c r="AF49" i="12"/>
  <c r="AC23" i="12"/>
  <c r="AK26" i="12"/>
  <c r="AE33" i="12"/>
  <c r="AC74" i="12"/>
  <c r="AF36" i="12"/>
  <c r="AD77" i="12"/>
  <c r="AK78" i="12"/>
  <c r="AE9" i="12"/>
  <c r="AO9" i="12"/>
  <c r="AS9" i="12"/>
  <c r="AD9" i="12"/>
  <c r="AH34" i="12"/>
  <c r="AE58" i="12"/>
  <c r="AI5" i="12"/>
  <c r="AF5" i="12"/>
  <c r="AH10" i="12"/>
  <c r="AH14" i="12"/>
  <c r="AE15" i="12"/>
  <c r="AF33" i="12"/>
  <c r="AK19" i="12"/>
  <c r="AC41" i="12"/>
  <c r="AF102" i="12"/>
  <c r="AJ97" i="12"/>
  <c r="AH97" i="12"/>
  <c r="AC97" i="12"/>
  <c r="AF84" i="12"/>
  <c r="AE77" i="12"/>
  <c r="AE73" i="12"/>
  <c r="AJ63" i="12"/>
  <c r="AE63" i="12"/>
  <c r="AE56" i="12"/>
  <c r="AH56" i="12"/>
  <c r="AI55" i="12"/>
  <c r="AK55" i="12"/>
  <c r="AJ55" i="12"/>
  <c r="AC55" i="12"/>
  <c r="AK48" i="12"/>
  <c r="AH47" i="12"/>
  <c r="AD44" i="12"/>
  <c r="AC37" i="12"/>
  <c r="AF35" i="12"/>
  <c r="AI24" i="12"/>
  <c r="AE24" i="12"/>
  <c r="AK24" i="12"/>
  <c r="AJ12" i="12"/>
  <c r="AO12" i="12"/>
  <c r="AS12" i="12"/>
  <c r="AD12" i="12"/>
  <c r="AN12" i="12"/>
  <c r="AK12" i="12"/>
  <c r="AI11" i="12"/>
  <c r="AK11" i="12"/>
  <c r="AF11" i="12"/>
  <c r="AH11" i="12"/>
  <c r="AE103" i="12"/>
  <c r="AJ102" i="12"/>
  <c r="AI101" i="12"/>
  <c r="AK100" i="12"/>
  <c r="AK99" i="12"/>
  <c r="AP99" i="12"/>
  <c r="AE99" i="12"/>
  <c r="AK98" i="12"/>
  <c r="AP98" i="12"/>
  <c r="AH98" i="12"/>
  <c r="AH85" i="12"/>
  <c r="AJ83" i="12"/>
  <c r="AC82" i="12"/>
  <c r="AC81" i="12"/>
  <c r="AF80" i="12"/>
  <c r="AC80" i="12"/>
  <c r="AI67" i="12"/>
  <c r="AC65" i="12"/>
  <c r="AK64" i="12"/>
  <c r="AF52" i="12"/>
  <c r="AH51" i="12"/>
  <c r="AF50" i="12"/>
  <c r="AI50" i="12"/>
  <c r="AF39" i="12"/>
  <c r="AE37" i="12"/>
  <c r="AD37" i="12"/>
  <c r="AH36" i="12"/>
  <c r="AM36" i="12"/>
  <c r="AR36" i="12"/>
  <c r="AH35" i="12"/>
  <c r="AM35" i="12"/>
  <c r="AR35" i="12"/>
  <c r="AF34" i="12"/>
  <c r="AE34" i="12"/>
  <c r="AE28" i="12"/>
  <c r="AO28" i="12"/>
  <c r="AS28" i="12"/>
  <c r="AI23" i="12"/>
  <c r="AC21" i="12"/>
  <c r="AJ21" i="12"/>
  <c r="AI20" i="12"/>
  <c r="AE19" i="12"/>
  <c r="AC18" i="12"/>
  <c r="AF18" i="12"/>
  <c r="AJ15" i="12"/>
  <c r="AF8" i="12"/>
  <c r="V92" i="12"/>
  <c r="V88" i="12"/>
  <c r="V84" i="12"/>
  <c r="V80" i="12"/>
  <c r="V76" i="12"/>
  <c r="V72" i="12"/>
  <c r="V68" i="12"/>
  <c r="V64" i="12"/>
  <c r="V60" i="12"/>
  <c r="V56" i="12"/>
  <c r="AI22" i="12"/>
  <c r="AE21" i="12"/>
  <c r="AE43" i="12"/>
  <c r="AH50" i="12"/>
  <c r="AC27" i="12"/>
  <c r="AC54" i="12"/>
  <c r="AC64" i="12"/>
  <c r="AE39" i="12"/>
  <c r="AC99" i="12"/>
  <c r="AE4" i="12"/>
  <c r="AF22" i="12"/>
  <c r="AD43" i="12"/>
  <c r="AI37" i="12"/>
  <c r="AC98" i="12"/>
  <c r="AK8" i="12"/>
  <c r="AC8" i="12"/>
  <c r="AD18" i="12"/>
  <c r="AJ34" i="12"/>
  <c r="AH21" i="12"/>
  <c r="AK37" i="12"/>
  <c r="AC96" i="12"/>
  <c r="AD89" i="12"/>
  <c r="AH87" i="12"/>
  <c r="AJ87" i="12"/>
  <c r="AK86" i="12"/>
  <c r="AF85" i="12"/>
  <c r="AC84" i="12"/>
  <c r="AD84" i="12"/>
  <c r="AD69" i="12"/>
  <c r="AC68" i="12"/>
  <c r="AF48" i="12"/>
  <c r="AC48" i="12"/>
  <c r="AE41" i="12"/>
  <c r="AH40" i="12"/>
  <c r="AI39" i="12"/>
  <c r="AK38" i="12"/>
  <c r="AE38" i="12"/>
  <c r="AH32" i="12"/>
  <c r="AF27" i="12"/>
  <c r="AF25" i="12"/>
  <c r="AI25" i="12"/>
  <c r="AC24" i="12"/>
  <c r="AK23" i="12"/>
  <c r="AH22" i="12"/>
  <c r="AJ16" i="12"/>
  <c r="AJ13" i="12"/>
  <c r="AI6" i="12"/>
  <c r="AN6" i="12"/>
  <c r="AE5" i="12"/>
  <c r="AH5" i="12"/>
  <c r="V4" i="12"/>
  <c r="W5" i="16"/>
  <c r="V103" i="12"/>
  <c r="V100" i="12"/>
  <c r="V99" i="12"/>
  <c r="V96" i="12"/>
  <c r="V95" i="12"/>
  <c r="AC91" i="12"/>
  <c r="AK74" i="12"/>
  <c r="AK82" i="12"/>
  <c r="AE84" i="12"/>
  <c r="AF92" i="12"/>
  <c r="AJ100" i="12"/>
  <c r="AH77" i="12"/>
  <c r="AM77" i="12"/>
  <c r="AR77" i="12"/>
  <c r="AD90" i="12"/>
  <c r="AI81" i="12"/>
  <c r="AE81" i="12"/>
  <c r="AK84" i="12"/>
  <c r="AF86" i="12"/>
  <c r="AD86" i="12"/>
  <c r="AH89" i="12"/>
  <c r="AE90" i="12"/>
  <c r="AK90" i="12"/>
  <c r="AE102" i="12"/>
  <c r="AH78" i="12"/>
  <c r="AC78" i="12"/>
  <c r="AK80" i="12"/>
  <c r="AI80" i="12"/>
  <c r="AF100" i="12"/>
  <c r="AC100" i="12"/>
  <c r="AC69" i="12"/>
  <c r="AJ101" i="12"/>
  <c r="AC62" i="12"/>
  <c r="AM62" i="12"/>
  <c r="AR62" i="12"/>
  <c r="AD92" i="12"/>
  <c r="AH94" i="12"/>
  <c r="AD67" i="12"/>
  <c r="AI84" i="12"/>
  <c r="AC102" i="12"/>
  <c r="AE101" i="12"/>
  <c r="AD81" i="12"/>
  <c r="AJ81" i="12"/>
  <c r="AJ86" i="12"/>
  <c r="AI89" i="12"/>
  <c r="AH90" i="12"/>
  <c r="AI102" i="12"/>
  <c r="AH102" i="12"/>
  <c r="AE78" i="12"/>
  <c r="AJ80" i="12"/>
  <c r="AD80" i="12"/>
  <c r="AD100" i="12"/>
  <c r="AI100" i="12"/>
  <c r="AJ75" i="12"/>
  <c r="AF101" i="12"/>
  <c r="AD75" i="12"/>
  <c r="AE85" i="12"/>
  <c r="AE93" i="12"/>
  <c r="AC87" i="12"/>
  <c r="AJ84" i="12"/>
  <c r="AH84" i="12"/>
  <c r="AH86" i="12"/>
  <c r="AM86" i="12"/>
  <c r="AR86" i="12"/>
  <c r="AF89" i="12"/>
  <c r="AK102" i="12"/>
  <c r="AF78" i="12"/>
  <c r="AH80" i="12"/>
  <c r="AE100" i="12"/>
  <c r="AH93" i="12"/>
  <c r="AK85" i="12"/>
  <c r="AF77" i="12"/>
  <c r="AK103" i="12"/>
  <c r="AI103" i="12"/>
  <c r="AD103" i="12"/>
  <c r="AJ103" i="12"/>
  <c r="AK101" i="12"/>
  <c r="AH101" i="12"/>
  <c r="AC101" i="12"/>
  <c r="AJ94" i="12"/>
  <c r="AD94" i="12"/>
  <c r="AK94" i="12"/>
  <c r="AK92" i="12"/>
  <c r="AI92" i="12"/>
  <c r="AH92" i="12"/>
  <c r="AE92" i="12"/>
  <c r="AK91" i="12"/>
  <c r="AJ91" i="12"/>
  <c r="AH91" i="12"/>
  <c r="AF90" i="12"/>
  <c r="AJ90" i="12"/>
  <c r="AH88" i="12"/>
  <c r="AJ88" i="12"/>
  <c r="AE88" i="12"/>
  <c r="AK88" i="12"/>
  <c r="AD88" i="12"/>
  <c r="AD87" i="12"/>
  <c r="AE87" i="12"/>
  <c r="AK87" i="12"/>
  <c r="AI87" i="12"/>
  <c r="AI83" i="12"/>
  <c r="AK83" i="12"/>
  <c r="AH83" i="12"/>
  <c r="AF83" i="12"/>
  <c r="AE83" i="12"/>
  <c r="AD83" i="12"/>
  <c r="AJ82" i="12"/>
  <c r="AF82" i="12"/>
  <c r="AI82" i="12"/>
  <c r="AH82" i="12"/>
  <c r="AF79" i="12"/>
  <c r="AE79" i="12"/>
  <c r="AD79" i="12"/>
  <c r="AH79" i="12"/>
  <c r="AK79" i="12"/>
  <c r="AI79" i="12"/>
  <c r="AI78" i="12"/>
  <c r="AJ78" i="12"/>
  <c r="AH76" i="12"/>
  <c r="AK76" i="12"/>
  <c r="AJ76" i="12"/>
  <c r="AE76" i="12"/>
  <c r="AI75" i="12"/>
  <c r="AH75" i="12"/>
  <c r="AF75" i="12"/>
  <c r="AK75" i="12"/>
  <c r="AJ74" i="12"/>
  <c r="AF74" i="12"/>
  <c r="AH74" i="12"/>
  <c r="AI74" i="12"/>
  <c r="AI73" i="12"/>
  <c r="AH73" i="12"/>
  <c r="AD73" i="12"/>
  <c r="AK73" i="12"/>
  <c r="AE72" i="12"/>
  <c r="AC72" i="12"/>
  <c r="AJ72" i="12"/>
  <c r="AH72" i="12"/>
  <c r="AD71" i="12"/>
  <c r="AC71" i="12"/>
  <c r="AI71" i="12"/>
  <c r="AH71" i="12"/>
  <c r="AF71" i="12"/>
  <c r="AK71" i="12"/>
  <c r="AE71" i="12"/>
  <c r="AJ70" i="12"/>
  <c r="AD70" i="12"/>
  <c r="AH70" i="12"/>
  <c r="AM70" i="12"/>
  <c r="AR70" i="12"/>
  <c r="AE70" i="12"/>
  <c r="AI70" i="12"/>
  <c r="AF70" i="12"/>
  <c r="AF69" i="12"/>
  <c r="AJ69" i="12"/>
  <c r="AH68" i="12"/>
  <c r="AI68" i="12"/>
  <c r="AF68" i="12"/>
  <c r="AD68" i="12"/>
  <c r="AK68" i="12"/>
  <c r="AJ68" i="12"/>
  <c r="AH67" i="12"/>
  <c r="AK67" i="12"/>
  <c r="AE67" i="12"/>
  <c r="AC67" i="12"/>
  <c r="AF67" i="12"/>
  <c r="AD66" i="12"/>
  <c r="AF66" i="12"/>
  <c r="AC66" i="12"/>
  <c r="AI66" i="12"/>
  <c r="AK66" i="12"/>
  <c r="AJ66" i="12"/>
  <c r="AE66" i="12"/>
  <c r="AJ65" i="12"/>
  <c r="AI65" i="12"/>
  <c r="AH65" i="12"/>
  <c r="AE65" i="12"/>
  <c r="AF65" i="12"/>
  <c r="AK65" i="12"/>
  <c r="AI64" i="12"/>
  <c r="AD64" i="12"/>
  <c r="AC63" i="12"/>
  <c r="AH63" i="12"/>
  <c r="AI63" i="12"/>
  <c r="AN63" i="12"/>
  <c r="AK62" i="12"/>
  <c r="AJ62" i="12"/>
  <c r="AD62" i="12"/>
  <c r="AF62" i="12"/>
  <c r="AH61" i="12"/>
  <c r="AE61" i="12"/>
  <c r="AD61" i="12"/>
  <c r="AJ61" i="12"/>
  <c r="AF61" i="12"/>
  <c r="AC61" i="12"/>
  <c r="AC60" i="12"/>
  <c r="AK60" i="12"/>
  <c r="AD60" i="12"/>
  <c r="AF60" i="12"/>
  <c r="AE60" i="12"/>
  <c r="AI60" i="12"/>
  <c r="AH59" i="12"/>
  <c r="AJ59" i="12"/>
  <c r="AI59" i="12"/>
  <c r="AK59" i="12"/>
  <c r="AK58" i="12"/>
  <c r="AJ58" i="12"/>
  <c r="AD58" i="12"/>
  <c r="AN58" i="12"/>
  <c r="AF58" i="12"/>
  <c r="AH57" i="12"/>
  <c r="AE57" i="12"/>
  <c r="AD57" i="12"/>
  <c r="AJ57" i="12"/>
  <c r="AI57" i="12"/>
  <c r="AC57" i="12"/>
  <c r="AC56" i="12"/>
  <c r="AI56" i="12"/>
  <c r="AF56" i="12"/>
  <c r="AK56" i="12"/>
  <c r="AD56" i="12"/>
  <c r="AK54" i="12"/>
  <c r="AJ54" i="12"/>
  <c r="AD54" i="12"/>
  <c r="AF54" i="12"/>
  <c r="AH54" i="12"/>
  <c r="AH53" i="12"/>
  <c r="AE53" i="12"/>
  <c r="AD53" i="12"/>
  <c r="AN53" i="12"/>
  <c r="AJ53" i="12"/>
  <c r="AC53" i="12"/>
  <c r="AJ48" i="12"/>
  <c r="AE47" i="12"/>
  <c r="AH24" i="12"/>
  <c r="AK25" i="12"/>
  <c r="AH28" i="12"/>
  <c r="AM28" i="12"/>
  <c r="AR28" i="12"/>
  <c r="AI34" i="12"/>
  <c r="AJ30" i="12"/>
  <c r="AI35" i="12"/>
  <c r="AD23" i="12"/>
  <c r="AI31" i="12"/>
  <c r="AJ35" i="12"/>
  <c r="AJ51" i="12"/>
  <c r="AD41" i="12"/>
  <c r="AI51" i="12"/>
  <c r="AD39" i="12"/>
  <c r="AC45" i="12"/>
  <c r="AC49" i="12"/>
  <c r="AC51" i="12"/>
  <c r="AI93" i="12"/>
  <c r="AI95" i="12"/>
  <c r="AK95" i="12"/>
  <c r="AK49" i="12"/>
  <c r="AK51" i="12"/>
  <c r="AH30" i="12"/>
  <c r="AK40" i="12"/>
  <c r="AE30" i="12"/>
  <c r="AD27" i="12"/>
  <c r="AJ39" i="12"/>
  <c r="AE52" i="12"/>
  <c r="AC47" i="12"/>
  <c r="AI52" i="12"/>
  <c r="AD101" i="12"/>
  <c r="AJ93" i="12"/>
  <c r="AK89" i="12"/>
  <c r="AD85" i="12"/>
  <c r="AJ85" i="12"/>
  <c r="AI85" i="12"/>
  <c r="AC83" i="12"/>
  <c r="AJ77" i="12"/>
  <c r="AK77" i="12"/>
  <c r="AI77" i="12"/>
  <c r="AC73" i="12"/>
  <c r="AK69" i="12"/>
  <c r="AC52" i="12"/>
  <c r="AK52" i="12"/>
  <c r="AD52" i="12"/>
  <c r="AC50" i="12"/>
  <c r="AK50" i="12"/>
  <c r="AJ50" i="12"/>
  <c r="AD50" i="12"/>
  <c r="AH49" i="12"/>
  <c r="AE49" i="12"/>
  <c r="AD49" i="12"/>
  <c r="AD48" i="12"/>
  <c r="AI48" i="12"/>
  <c r="AE46" i="12"/>
  <c r="AK46" i="12"/>
  <c r="AP46" i="12"/>
  <c r="AJ46" i="12"/>
  <c r="AO46" i="12"/>
  <c r="AS46" i="12"/>
  <c r="AD46" i="12"/>
  <c r="AH45" i="12"/>
  <c r="AE45" i="12"/>
  <c r="AD45" i="12"/>
  <c r="AI44" i="12"/>
  <c r="AF44" i="12"/>
  <c r="AJ43" i="12"/>
  <c r="AF43" i="12"/>
  <c r="AJ42" i="12"/>
  <c r="AD42" i="12"/>
  <c r="AF42" i="12"/>
  <c r="AJ41" i="12"/>
  <c r="AH41" i="12"/>
  <c r="AF41" i="12"/>
  <c r="AJ40" i="12"/>
  <c r="AC40" i="12"/>
  <c r="AI40" i="12"/>
  <c r="AJ38" i="12"/>
  <c r="AD38" i="12"/>
  <c r="AF38" i="12"/>
  <c r="AJ37" i="12"/>
  <c r="AH37" i="12"/>
  <c r="AF37" i="12"/>
  <c r="AI36" i="12"/>
  <c r="AD36" i="12"/>
  <c r="AD19" i="12"/>
  <c r="AF19" i="12"/>
  <c r="AP19" i="12"/>
  <c r="AJ19" i="12"/>
  <c r="AH69" i="12"/>
  <c r="AF73" i="12"/>
  <c r="AJ73" i="12"/>
  <c r="AO73" i="12"/>
  <c r="AS73" i="12"/>
  <c r="AE69" i="12"/>
  <c r="AJ99" i="12"/>
  <c r="AF96" i="12"/>
  <c r="AC94" i="12"/>
  <c r="AJ71" i="12"/>
  <c r="AJ67" i="12"/>
  <c r="AI69" i="12"/>
  <c r="AF76" i="12"/>
  <c r="AD74" i="12"/>
  <c r="AF40" i="12"/>
  <c r="AK31" i="12"/>
  <c r="AI28" i="12"/>
  <c r="AN28" i="12"/>
  <c r="AJ23" i="12"/>
  <c r="AF20" i="12"/>
  <c r="AD5" i="12"/>
  <c r="AH4" i="12"/>
  <c r="AK43" i="12"/>
  <c r="AP43" i="12"/>
  <c r="AN16" i="12"/>
  <c r="M2" i="11"/>
  <c r="AK96" i="12"/>
  <c r="AF95" i="12"/>
  <c r="AC93" i="12"/>
  <c r="AC75" i="12"/>
  <c r="AE68" i="12"/>
  <c r="AK57" i="12"/>
  <c r="AK47" i="12"/>
  <c r="AK45" i="12"/>
  <c r="AH42" i="12"/>
  <c r="AD34" i="12"/>
  <c r="AE26" i="12"/>
  <c r="AI14" i="12"/>
  <c r="AN14" i="12"/>
  <c r="AC13" i="12"/>
  <c r="AB5" i="7"/>
  <c r="AC5" i="7" s="1"/>
  <c r="AE5" i="7" s="1"/>
  <c r="AF5" i="7" s="1"/>
  <c r="AE98" i="12"/>
  <c r="AE89" i="12"/>
  <c r="AI88" i="12"/>
  <c r="AC79" i="12"/>
  <c r="AF72" i="12"/>
  <c r="AK70" i="12"/>
  <c r="AD65" i="12"/>
  <c r="AE64" i="12"/>
  <c r="AK61" i="12"/>
  <c r="AH52" i="12"/>
  <c r="AM52" i="12"/>
  <c r="AR52" i="12"/>
  <c r="AC44" i="12"/>
  <c r="AM44" i="12"/>
  <c r="AR44" i="12"/>
  <c r="AK35" i="12"/>
  <c r="AF28" i="12"/>
  <c r="AP28" i="12"/>
  <c r="AJ25" i="12"/>
  <c r="AC7" i="12"/>
  <c r="AJ98" i="12"/>
  <c r="AD97" i="12"/>
  <c r="AI94" i="12"/>
  <c r="AD91" i="12"/>
  <c r="AC90" i="12"/>
  <c r="AI86" i="12"/>
  <c r="AH66" i="12"/>
  <c r="AK63" i="12"/>
  <c r="AE62" i="12"/>
  <c r="AD59" i="12"/>
  <c r="AF57" i="12"/>
  <c r="AK53" i="12"/>
  <c r="AE51" i="12"/>
  <c r="AI41" i="12"/>
  <c r="AJ33" i="12"/>
  <c r="AF32" i="12"/>
  <c r="AH29" i="12"/>
  <c r="AJ27" i="12"/>
  <c r="AK22" i="12"/>
  <c r="AD8" i="12"/>
  <c r="F30" i="10"/>
  <c r="G30" i="10"/>
  <c r="H30" i="10"/>
  <c r="K30" i="10"/>
  <c r="F14" i="10"/>
  <c r="G14" i="10"/>
  <c r="H14" i="10"/>
  <c r="M14" i="10"/>
  <c r="F34" i="10"/>
  <c r="G34" i="10"/>
  <c r="H34" i="10"/>
  <c r="O34" i="10"/>
  <c r="M9" i="11"/>
  <c r="M4" i="11"/>
  <c r="M6" i="11"/>
  <c r="M3" i="11"/>
  <c r="Q58" i="10"/>
  <c r="K3" i="10"/>
  <c r="D32" i="10"/>
  <c r="E32" i="10"/>
  <c r="D27" i="10"/>
  <c r="E27" i="10"/>
  <c r="D22" i="10"/>
  <c r="E22" i="10"/>
  <c r="D16" i="10"/>
  <c r="E16" i="10"/>
  <c r="D11" i="10"/>
  <c r="E11" i="10"/>
  <c r="D6" i="10"/>
  <c r="E6" i="10"/>
  <c r="D41" i="10"/>
  <c r="E41" i="10"/>
  <c r="D39" i="10"/>
  <c r="E39" i="10"/>
  <c r="D31" i="10"/>
  <c r="E31" i="10"/>
  <c r="D26" i="10"/>
  <c r="E26" i="10"/>
  <c r="D20" i="10"/>
  <c r="E20" i="10"/>
  <c r="D15" i="10"/>
  <c r="E15" i="10"/>
  <c r="D10" i="10"/>
  <c r="E10" i="10"/>
  <c r="D4" i="10"/>
  <c r="E4" i="10"/>
  <c r="F4" i="10"/>
  <c r="D40" i="10"/>
  <c r="E40" i="10"/>
  <c r="D35" i="10"/>
  <c r="E35" i="10"/>
  <c r="D24" i="10"/>
  <c r="E24" i="10"/>
  <c r="D19" i="10"/>
  <c r="E19" i="10"/>
  <c r="D8" i="10"/>
  <c r="E8" i="10"/>
  <c r="D38" i="10"/>
  <c r="E38" i="10"/>
  <c r="D28" i="10"/>
  <c r="E28" i="10"/>
  <c r="D23" i="10"/>
  <c r="E23" i="10"/>
  <c r="D18" i="10"/>
  <c r="E18" i="10"/>
  <c r="D12" i="10"/>
  <c r="E12" i="10"/>
  <c r="D7" i="10"/>
  <c r="E7" i="10"/>
  <c r="D36" i="10"/>
  <c r="E36" i="10"/>
  <c r="C37" i="10"/>
  <c r="C33" i="10"/>
  <c r="C29" i="10"/>
  <c r="C25" i="10"/>
  <c r="C21" i="10"/>
  <c r="C17" i="10"/>
  <c r="C13" i="10"/>
  <c r="C9" i="10"/>
  <c r="C5" i="10"/>
  <c r="AH96" i="12"/>
  <c r="AI96" i="12"/>
  <c r="AF91" i="12"/>
  <c r="AD93" i="12"/>
  <c r="AD95" i="12"/>
  <c r="AF93" i="12"/>
  <c r="AE94" i="12"/>
  <c r="AE91" i="12"/>
  <c r="AI45" i="12"/>
  <c r="AF103" i="12"/>
  <c r="AE95" i="12"/>
  <c r="AI32" i="12"/>
  <c r="AD29" i="12"/>
  <c r="AI4" i="12"/>
  <c r="AH103" i="12"/>
  <c r="AI61" i="12"/>
  <c r="AJ56" i="12"/>
  <c r="AO103" i="12"/>
  <c r="AS103" i="12"/>
  <c r="AP23" i="12"/>
  <c r="AP34" i="12"/>
  <c r="AO69" i="12"/>
  <c r="AS69" i="12"/>
  <c r="AO36" i="12"/>
  <c r="AS36" i="12"/>
  <c r="AM85" i="12"/>
  <c r="AR85" i="12"/>
  <c r="AM95" i="12"/>
  <c r="AR95" i="12"/>
  <c r="AP41" i="12"/>
  <c r="AN35" i="12"/>
  <c r="AM64" i="12"/>
  <c r="AR64" i="12"/>
  <c r="AN24" i="12"/>
  <c r="AT24" i="12"/>
  <c r="AO23" i="12"/>
  <c r="AS23" i="12"/>
  <c r="AN51" i="12"/>
  <c r="AP10" i="12"/>
  <c r="AP63" i="12"/>
  <c r="AM7" i="12"/>
  <c r="AR7" i="12"/>
  <c r="AO40" i="12"/>
  <c r="AS40" i="12"/>
  <c r="AO48" i="12"/>
  <c r="AS48" i="12"/>
  <c r="AO33" i="12"/>
  <c r="AS33" i="12"/>
  <c r="AN54" i="12"/>
  <c r="AO80" i="12"/>
  <c r="AS80" i="12"/>
  <c r="AP24" i="12"/>
  <c r="AN33" i="12"/>
  <c r="AO18" i="12"/>
  <c r="AS18" i="12"/>
  <c r="AN46" i="12"/>
  <c r="AP69" i="12"/>
  <c r="AN27" i="12"/>
  <c r="AO35" i="12"/>
  <c r="AS35" i="12"/>
  <c r="AO74" i="12"/>
  <c r="AS74" i="12"/>
  <c r="AM76" i="12"/>
  <c r="AR76" i="12"/>
  <c r="AP88" i="12"/>
  <c r="AP80" i="12"/>
  <c r="AM17" i="12"/>
  <c r="AR17" i="12"/>
  <c r="AP6" i="12"/>
  <c r="AP20" i="12"/>
  <c r="AT20" i="12"/>
  <c r="AO82" i="12"/>
  <c r="AS82" i="12"/>
  <c r="AM8" i="12"/>
  <c r="AR8" i="12"/>
  <c r="AM11" i="12"/>
  <c r="AR11" i="12"/>
  <c r="AN9" i="12"/>
  <c r="AM23" i="12"/>
  <c r="AR23" i="12"/>
  <c r="AO7" i="12"/>
  <c r="AS7" i="12"/>
  <c r="AM43" i="12"/>
  <c r="AR43" i="12"/>
  <c r="AO8" i="12"/>
  <c r="AS8" i="12"/>
  <c r="AN26" i="12"/>
  <c r="AP79" i="12"/>
  <c r="AO100" i="12"/>
  <c r="AS100" i="12"/>
  <c r="AM93" i="12"/>
  <c r="AR93" i="12"/>
  <c r="AN101" i="12"/>
  <c r="AP22" i="12"/>
  <c r="AN52" i="12"/>
  <c r="AM47" i="12"/>
  <c r="AR47" i="12"/>
  <c r="AN39" i="12"/>
  <c r="AM100" i="12"/>
  <c r="AR100" i="12"/>
  <c r="AN40" i="12"/>
  <c r="AO16" i="12"/>
  <c r="AS16" i="12"/>
  <c r="AM27" i="12"/>
  <c r="AR27" i="12"/>
  <c r="AM18" i="12"/>
  <c r="AR18" i="12"/>
  <c r="AP16" i="12"/>
  <c r="AT16" i="12"/>
  <c r="AN48" i="12"/>
  <c r="AM83" i="12"/>
  <c r="AR83" i="12"/>
  <c r="AM38" i="12"/>
  <c r="AR38" i="12"/>
  <c r="AP42" i="12"/>
  <c r="AO76" i="12"/>
  <c r="AS76" i="12"/>
  <c r="AP45" i="12"/>
  <c r="AN10" i="12"/>
  <c r="AT10" i="12"/>
  <c r="AN4" i="12"/>
  <c r="AM14" i="12"/>
  <c r="AR14" i="12"/>
  <c r="AM49" i="12"/>
  <c r="AR49" i="12"/>
  <c r="AO38" i="12"/>
  <c r="AS38" i="12"/>
  <c r="AN34" i="12"/>
  <c r="AO50" i="12"/>
  <c r="AS50" i="12"/>
  <c r="AO92" i="12"/>
  <c r="AS92" i="12"/>
  <c r="AO86" i="12"/>
  <c r="AS86" i="12"/>
  <c r="AP5" i="12"/>
  <c r="AN47" i="12"/>
  <c r="AT47" i="12"/>
  <c r="AP30" i="12"/>
  <c r="AO64" i="12"/>
  <c r="AS64" i="12"/>
  <c r="AM42" i="12"/>
  <c r="AR42" i="12"/>
  <c r="AM30" i="12"/>
  <c r="AR30" i="12"/>
  <c r="AP4" i="12"/>
  <c r="AP29" i="12"/>
  <c r="AM88" i="12"/>
  <c r="AR88" i="12"/>
  <c r="AN96" i="12"/>
  <c r="AM96" i="12"/>
  <c r="AR96" i="12"/>
  <c r="AN8" i="12"/>
  <c r="AP53" i="12"/>
  <c r="AT53" i="12"/>
  <c r="AP47" i="12"/>
  <c r="AP51" i="12"/>
  <c r="AM53" i="12"/>
  <c r="AR53" i="12"/>
  <c r="AN25" i="12"/>
  <c r="AP64" i="12"/>
  <c r="AM34" i="12"/>
  <c r="AR34" i="12"/>
  <c r="AO11" i="12"/>
  <c r="AS11" i="12"/>
  <c r="AP59" i="12"/>
  <c r="AN7" i="12"/>
  <c r="AN15" i="12"/>
  <c r="AM6" i="12"/>
  <c r="AR6" i="12"/>
  <c r="AM90" i="12"/>
  <c r="AR90" i="12"/>
  <c r="AN38" i="12"/>
  <c r="AO45" i="12"/>
  <c r="AS45" i="12"/>
  <c r="AP52" i="12"/>
  <c r="AM48" i="12"/>
  <c r="AR48" i="12"/>
  <c r="AO24" i="12"/>
  <c r="AS24" i="12"/>
  <c r="AP33" i="12"/>
  <c r="AT33" i="12"/>
  <c r="AM58" i="12"/>
  <c r="AR58" i="12"/>
  <c r="AO27" i="12"/>
  <c r="AS27" i="12"/>
  <c r="AN88" i="12"/>
  <c r="AT88" i="12"/>
  <c r="AM13" i="12"/>
  <c r="AR13" i="12"/>
  <c r="AN19" i="12"/>
  <c r="AT19" i="12"/>
  <c r="AN42" i="12"/>
  <c r="AT42" i="12"/>
  <c r="AN102" i="12"/>
  <c r="AN84" i="12"/>
  <c r="AM89" i="12"/>
  <c r="AR89" i="12"/>
  <c r="AP55" i="12"/>
  <c r="AO22" i="12"/>
  <c r="AS22" i="12"/>
  <c r="AO6" i="12"/>
  <c r="AS6" i="12"/>
  <c r="AP61" i="12"/>
  <c r="AM75" i="12"/>
  <c r="AR75" i="12"/>
  <c r="AN79" i="12"/>
  <c r="AP102" i="12"/>
  <c r="AM5" i="12"/>
  <c r="AR5" i="12"/>
  <c r="AN18" i="12"/>
  <c r="AM9" i="12"/>
  <c r="AR9" i="12"/>
  <c r="AM59" i="12"/>
  <c r="AR59" i="12"/>
  <c r="AP21" i="12"/>
  <c r="AP15" i="12"/>
  <c r="AN11" i="12"/>
  <c r="AO37" i="12"/>
  <c r="AS37" i="12"/>
  <c r="AN99" i="12"/>
  <c r="AT99" i="12"/>
  <c r="AP76" i="12"/>
  <c r="AO43" i="12"/>
  <c r="AS43" i="12"/>
  <c r="AN77" i="12"/>
  <c r="AM51" i="12"/>
  <c r="AR51" i="12"/>
  <c r="AN31" i="12"/>
  <c r="AO47" i="12"/>
  <c r="AS47" i="12"/>
  <c r="AM82" i="12"/>
  <c r="AR82" i="12"/>
  <c r="AM84" i="12"/>
  <c r="AR84" i="12"/>
  <c r="AN67" i="12"/>
  <c r="AO13" i="12"/>
  <c r="AS13" i="12"/>
  <c r="AP8" i="12"/>
  <c r="AN45" i="12"/>
  <c r="AN78" i="12"/>
  <c r="AM92" i="12"/>
  <c r="AR92" i="12"/>
  <c r="AM26" i="12"/>
  <c r="AR26" i="12"/>
  <c r="AM39" i="12"/>
  <c r="AR39" i="12"/>
  <c r="AP97" i="12"/>
  <c r="AM78" i="12"/>
  <c r="AR78" i="12"/>
  <c r="AP62" i="12"/>
  <c r="AO87" i="12"/>
  <c r="AS87" i="12"/>
  <c r="AO4" i="12"/>
  <c r="AS4" i="12"/>
  <c r="AP39" i="12"/>
  <c r="AO59" i="12"/>
  <c r="AS59" i="12"/>
  <c r="AO79" i="12"/>
  <c r="AS79" i="12"/>
  <c r="AP84" i="12"/>
  <c r="AN98" i="12"/>
  <c r="AT98" i="12"/>
  <c r="AO25" i="12"/>
  <c r="AS25" i="12"/>
  <c r="AP44" i="12"/>
  <c r="AN43" i="12"/>
  <c r="AT43" i="12"/>
  <c r="AM81" i="12"/>
  <c r="AR81" i="12"/>
  <c r="AP12" i="12"/>
  <c r="AO97" i="12"/>
  <c r="AS97" i="12"/>
  <c r="AM46" i="12"/>
  <c r="AR46" i="12"/>
  <c r="AO95" i="12"/>
  <c r="AS95" i="12"/>
  <c r="AN94" i="12"/>
  <c r="AP72" i="12"/>
  <c r="AM19" i="12"/>
  <c r="AR19" i="12"/>
  <c r="AN59" i="12"/>
  <c r="AN97" i="12"/>
  <c r="AO26" i="12"/>
  <c r="AS26" i="12"/>
  <c r="AO60" i="12"/>
  <c r="AS60" i="12"/>
  <c r="AN90" i="12"/>
  <c r="AO29" i="12"/>
  <c r="AS29" i="12"/>
  <c r="AP103" i="12"/>
  <c r="AO51" i="12"/>
  <c r="AS51" i="12"/>
  <c r="AM29" i="12"/>
  <c r="AR29" i="12"/>
  <c r="AN49" i="12"/>
  <c r="AO75" i="12"/>
  <c r="AS75" i="12"/>
  <c r="AM55" i="12"/>
  <c r="AR55" i="12"/>
  <c r="AN72" i="12"/>
  <c r="AO62" i="12"/>
  <c r="AS62" i="12"/>
  <c r="AN29" i="12"/>
  <c r="AO89" i="12"/>
  <c r="AS89" i="12"/>
  <c r="AP31" i="12"/>
  <c r="AO49" i="12"/>
  <c r="AS49" i="12"/>
  <c r="AP49" i="12"/>
  <c r="AM61" i="12"/>
  <c r="AR61" i="12"/>
  <c r="AM67" i="12"/>
  <c r="AR67" i="12"/>
  <c r="AM87" i="12"/>
  <c r="AR87" i="12"/>
  <c r="AO5" i="12"/>
  <c r="AS5" i="12"/>
  <c r="AP26" i="12"/>
  <c r="AN76" i="12"/>
  <c r="AN13" i="12"/>
  <c r="AT13" i="12"/>
  <c r="AN70" i="12"/>
  <c r="AO67" i="12"/>
  <c r="AS67" i="12"/>
  <c r="AM72" i="12"/>
  <c r="AR72" i="12"/>
  <c r="AM97" i="12"/>
  <c r="AR97" i="12"/>
  <c r="AM101" i="12"/>
  <c r="AR101" i="12"/>
  <c r="AN21" i="12"/>
  <c r="AT28" i="12"/>
  <c r="AV28" i="12"/>
  <c r="AO63" i="12"/>
  <c r="AS63" i="12"/>
  <c r="AO31" i="12"/>
  <c r="AS31" i="12"/>
  <c r="AM15" i="12"/>
  <c r="AR15" i="12"/>
  <c r="AM25" i="12"/>
  <c r="AR25" i="12"/>
  <c r="AP40" i="12"/>
  <c r="AO30" i="12"/>
  <c r="AS30" i="12"/>
  <c r="AO21" i="12"/>
  <c r="AS21" i="12"/>
  <c r="AP48" i="12"/>
  <c r="AN41" i="12"/>
  <c r="AT41" i="12"/>
  <c r="AN86" i="12"/>
  <c r="AN74" i="12"/>
  <c r="AO54" i="12"/>
  <c r="AS54" i="12"/>
  <c r="AN64" i="12"/>
  <c r="AO66" i="12"/>
  <c r="AS66" i="12"/>
  <c r="AN103" i="12"/>
  <c r="AM99" i="12"/>
  <c r="AR99" i="12"/>
  <c r="AN91" i="12"/>
  <c r="AP25" i="12"/>
  <c r="AO14" i="12"/>
  <c r="AS14" i="12"/>
  <c r="AP9" i="12"/>
  <c r="AT9" i="12"/>
  <c r="AM103" i="12"/>
  <c r="AR103" i="12"/>
  <c r="AP95" i="12"/>
  <c r="AO77" i="12"/>
  <c r="AS77" i="12"/>
  <c r="AM98" i="12"/>
  <c r="AR98" i="12"/>
  <c r="AP11" i="12"/>
  <c r="AO72" i="12"/>
  <c r="AS72" i="12"/>
  <c r="AO44" i="12"/>
  <c r="AS44" i="12"/>
  <c r="AP27" i="12"/>
  <c r="AT27" i="12"/>
  <c r="AM65" i="12"/>
  <c r="AR65" i="12"/>
  <c r="AM22" i="12"/>
  <c r="AR22" i="12"/>
  <c r="AO34" i="12"/>
  <c r="AS34" i="12"/>
  <c r="AP50" i="12"/>
  <c r="AP100" i="12"/>
  <c r="AO96" i="12"/>
  <c r="AS96" i="12"/>
  <c r="AM31" i="12"/>
  <c r="AR31" i="12"/>
  <c r="AP93" i="12"/>
  <c r="AO39" i="12"/>
  <c r="AS39" i="12"/>
  <c r="AN82" i="12"/>
  <c r="AP36" i="12"/>
  <c r="AP18" i="12"/>
  <c r="AP32" i="12"/>
  <c r="AN65" i="12"/>
  <c r="AM63" i="12"/>
  <c r="AR63" i="12"/>
  <c r="AP37" i="12"/>
  <c r="AN68" i="12"/>
  <c r="AN71" i="12"/>
  <c r="AN100" i="12"/>
  <c r="AP85" i="12"/>
  <c r="AP54" i="12"/>
  <c r="AO70" i="12"/>
  <c r="AS70" i="12"/>
  <c r="AN83" i="12"/>
  <c r="AO41" i="12"/>
  <c r="AS41" i="12"/>
  <c r="AM33" i="12"/>
  <c r="AR33" i="12"/>
  <c r="AN61" i="12"/>
  <c r="AN44" i="12"/>
  <c r="AM50" i="12"/>
  <c r="AR50" i="12"/>
  <c r="AM60" i="12"/>
  <c r="AR60" i="12"/>
  <c r="AP78" i="12"/>
  <c r="AO55" i="12"/>
  <c r="AS55" i="12"/>
  <c r="AP38" i="12"/>
  <c r="AT12" i="12"/>
  <c r="AV12" i="12"/>
  <c r="AN81" i="12"/>
  <c r="AT81" i="12"/>
  <c r="AP86" i="12"/>
  <c r="AO84" i="12"/>
  <c r="AS84" i="12"/>
  <c r="AO32" i="12"/>
  <c r="AS32" i="12"/>
  <c r="AN85" i="12"/>
  <c r="AO52" i="12"/>
  <c r="AS52" i="12"/>
  <c r="AM66" i="12"/>
  <c r="AR66" i="12"/>
  <c r="AO101" i="12"/>
  <c r="AS101" i="12"/>
  <c r="AM68" i="12"/>
  <c r="AR68" i="12"/>
  <c r="AN89" i="12"/>
  <c r="AO99" i="12"/>
  <c r="AS99" i="12"/>
  <c r="AO20" i="12"/>
  <c r="AS20" i="12"/>
  <c r="AO56" i="12"/>
  <c r="AS56" i="12"/>
  <c r="AN32" i="12"/>
  <c r="AP96" i="12"/>
  <c r="AM45" i="12"/>
  <c r="AR45" i="12"/>
  <c r="AP58" i="12"/>
  <c r="AT58" i="12"/>
  <c r="AP66" i="12"/>
  <c r="AM37" i="12"/>
  <c r="AR37" i="12"/>
  <c r="AM20" i="12"/>
  <c r="AR20" i="12"/>
  <c r="AM32" i="12"/>
  <c r="AR32" i="12"/>
  <c r="AP70" i="12"/>
  <c r="AO68" i="12"/>
  <c r="AS68" i="12"/>
  <c r="AP77" i="12"/>
  <c r="AM24" i="12"/>
  <c r="AR24" i="12"/>
  <c r="AO91" i="12"/>
  <c r="AS91" i="12"/>
  <c r="AN93" i="12"/>
  <c r="AT6" i="12"/>
  <c r="AM4" i="12"/>
  <c r="AR4" i="12"/>
  <c r="AM41" i="12"/>
  <c r="AR41" i="12"/>
  <c r="AO42" i="12"/>
  <c r="AS42" i="12"/>
  <c r="AM56" i="12"/>
  <c r="AR56" i="12"/>
  <c r="AN62" i="12"/>
  <c r="AM74" i="12"/>
  <c r="AR74" i="12"/>
  <c r="AO83" i="12"/>
  <c r="AS83" i="12"/>
  <c r="AP90" i="12"/>
  <c r="AP94" i="12"/>
  <c r="AN37" i="12"/>
  <c r="AM10" i="12"/>
  <c r="AR10" i="12"/>
  <c r="AP14" i="12"/>
  <c r="AT14" i="12"/>
  <c r="AN55" i="12"/>
  <c r="AN22" i="12"/>
  <c r="AT22" i="12"/>
  <c r="AN17" i="12"/>
  <c r="AN30" i="12"/>
  <c r="AP17" i="12"/>
  <c r="AN95" i="12"/>
  <c r="AM54" i="12"/>
  <c r="AR54" i="12"/>
  <c r="AP87" i="12"/>
  <c r="AO94" i="12"/>
  <c r="AS94" i="12"/>
  <c r="AP91" i="12"/>
  <c r="AP35" i="12"/>
  <c r="AT35" i="12"/>
  <c r="AM79" i="12"/>
  <c r="AR79" i="12"/>
  <c r="AN5" i="12"/>
  <c r="AN69" i="12"/>
  <c r="AO19" i="12"/>
  <c r="AS19" i="12"/>
  <c r="AM40" i="12"/>
  <c r="AR40" i="12"/>
  <c r="AN50" i="12"/>
  <c r="AN23" i="12"/>
  <c r="AT23" i="12"/>
  <c r="AM57" i="12"/>
  <c r="AR57" i="12"/>
  <c r="AO57" i="12"/>
  <c r="AS57" i="12"/>
  <c r="AO58" i="12"/>
  <c r="AS58" i="12"/>
  <c r="AP60" i="12"/>
  <c r="AO61" i="12"/>
  <c r="AS61" i="12"/>
  <c r="AP65" i="12"/>
  <c r="AP67" i="12"/>
  <c r="AP68" i="12"/>
  <c r="AM71" i="12"/>
  <c r="AR71" i="12"/>
  <c r="AP83" i="12"/>
  <c r="AM80" i="12"/>
  <c r="AR80" i="12"/>
  <c r="AO102" i="12"/>
  <c r="AS102" i="12"/>
  <c r="AM21" i="12"/>
  <c r="AR21" i="12"/>
  <c r="AO15" i="12"/>
  <c r="AS15" i="12"/>
  <c r="AP7" i="12"/>
  <c r="AO10" i="12"/>
  <c r="AS10" i="12"/>
  <c r="AO17" i="12"/>
  <c r="AS17" i="12"/>
  <c r="AT49" i="12"/>
  <c r="AM73" i="12"/>
  <c r="AR73" i="12"/>
  <c r="AN92" i="12"/>
  <c r="AP92" i="12"/>
  <c r="AP74" i="12"/>
  <c r="AT63" i="12"/>
  <c r="AP56" i="12"/>
  <c r="AO65" i="12"/>
  <c r="AS65" i="12"/>
  <c r="AP71" i="12"/>
  <c r="AN87" i="12"/>
  <c r="AO93" i="12"/>
  <c r="AS93" i="12"/>
  <c r="AO78" i="12"/>
  <c r="AS78" i="12"/>
  <c r="AP57" i="12"/>
  <c r="AN60" i="12"/>
  <c r="AP73" i="12"/>
  <c r="AO85" i="12"/>
  <c r="AS85" i="12"/>
  <c r="AM102" i="12"/>
  <c r="AR102" i="12"/>
  <c r="AO90" i="12"/>
  <c r="AS90" i="12"/>
  <c r="AP82" i="12"/>
  <c r="AM91" i="12"/>
  <c r="AR91" i="12"/>
  <c r="AT51" i="12"/>
  <c r="AN36" i="12"/>
  <c r="AT46" i="12"/>
  <c r="AV46" i="12"/>
  <c r="AO53" i="12"/>
  <c r="AS53" i="12"/>
  <c r="AN56" i="12"/>
  <c r="AN57" i="12"/>
  <c r="AN66" i="12"/>
  <c r="AT66" i="12"/>
  <c r="AO71" i="12"/>
  <c r="AS71" i="12"/>
  <c r="AN73" i="12"/>
  <c r="AP75" i="12"/>
  <c r="AO88" i="12"/>
  <c r="AS88" i="12"/>
  <c r="AP89" i="12"/>
  <c r="AN75" i="12"/>
  <c r="AP101" i="12"/>
  <c r="AT101" i="12"/>
  <c r="AN80" i="12"/>
  <c r="AT80" i="12"/>
  <c r="AM94" i="12"/>
  <c r="AR94" i="12"/>
  <c r="AM69" i="12"/>
  <c r="AR69" i="12"/>
  <c r="AO81" i="12"/>
  <c r="AS81" i="12"/>
  <c r="AO98" i="12"/>
  <c r="AS98" i="12"/>
  <c r="F18" i="10"/>
  <c r="G18" i="10"/>
  <c r="H18" i="10"/>
  <c r="K18" i="10"/>
  <c r="F8" i="10"/>
  <c r="G8" i="10"/>
  <c r="H8" i="10"/>
  <c r="O8" i="10"/>
  <c r="F40" i="10"/>
  <c r="G40" i="10"/>
  <c r="H40" i="10"/>
  <c r="K40" i="10"/>
  <c r="F20" i="10"/>
  <c r="G20" i="10"/>
  <c r="H20" i="10"/>
  <c r="N20" i="10"/>
  <c r="F41" i="10"/>
  <c r="G41" i="10"/>
  <c r="H41" i="10"/>
  <c r="L41" i="10"/>
  <c r="F22" i="10"/>
  <c r="G22" i="10"/>
  <c r="H22" i="10"/>
  <c r="M22" i="10"/>
  <c r="F12" i="10"/>
  <c r="G12" i="10"/>
  <c r="H12" i="10"/>
  <c r="N12" i="10"/>
  <c r="F35" i="10"/>
  <c r="G35" i="10"/>
  <c r="H35" i="10"/>
  <c r="L35" i="10"/>
  <c r="F39" i="10"/>
  <c r="G39" i="10"/>
  <c r="H39" i="10"/>
  <c r="K39" i="10"/>
  <c r="F36" i="10"/>
  <c r="G36" i="10"/>
  <c r="H36" i="10"/>
  <c r="K36" i="10"/>
  <c r="F23" i="10"/>
  <c r="G23" i="10"/>
  <c r="H23" i="10"/>
  <c r="O23" i="10"/>
  <c r="F19" i="10"/>
  <c r="G19" i="10"/>
  <c r="H19" i="10"/>
  <c r="K19" i="10"/>
  <c r="F26" i="10"/>
  <c r="G26" i="10"/>
  <c r="H26" i="10"/>
  <c r="M26" i="10"/>
  <c r="F6" i="10"/>
  <c r="G6" i="10"/>
  <c r="H6" i="10"/>
  <c r="M6" i="10"/>
  <c r="F27" i="10"/>
  <c r="G27" i="10"/>
  <c r="H27" i="10"/>
  <c r="K27" i="10"/>
  <c r="F38" i="10"/>
  <c r="G38" i="10"/>
  <c r="H38" i="10"/>
  <c r="K38" i="10"/>
  <c r="F15" i="10"/>
  <c r="G15" i="10"/>
  <c r="H15" i="10"/>
  <c r="O15" i="10"/>
  <c r="F16" i="10"/>
  <c r="G16" i="10"/>
  <c r="H16" i="10"/>
  <c r="N16" i="10"/>
  <c r="F7" i="10"/>
  <c r="G7" i="10"/>
  <c r="H7" i="10"/>
  <c r="N7" i="10"/>
  <c r="F28" i="10"/>
  <c r="G28" i="10"/>
  <c r="H28" i="10"/>
  <c r="K28" i="10"/>
  <c r="F24" i="10"/>
  <c r="G24" i="10"/>
  <c r="H24" i="10"/>
  <c r="K24" i="10"/>
  <c r="F10" i="10"/>
  <c r="G10" i="10"/>
  <c r="H10" i="10"/>
  <c r="O10" i="10"/>
  <c r="F31" i="10"/>
  <c r="G31" i="10"/>
  <c r="H31" i="10"/>
  <c r="N31" i="10"/>
  <c r="F11" i="10"/>
  <c r="G11" i="10"/>
  <c r="H11" i="10"/>
  <c r="L11" i="10"/>
  <c r="F32" i="10"/>
  <c r="G32" i="10"/>
  <c r="H32" i="10"/>
  <c r="K32" i="10"/>
  <c r="M34" i="10"/>
  <c r="L34" i="10"/>
  <c r="K34" i="10"/>
  <c r="N34" i="10"/>
  <c r="L3" i="10"/>
  <c r="L14" i="10"/>
  <c r="M30" i="10"/>
  <c r="M3" i="10"/>
  <c r="N3" i="10"/>
  <c r="O14" i="10"/>
  <c r="L30" i="10"/>
  <c r="O3" i="10"/>
  <c r="N14" i="10"/>
  <c r="K14" i="10"/>
  <c r="O30" i="10"/>
  <c r="N30" i="10"/>
  <c r="Q2" i="10"/>
  <c r="H4" i="10"/>
  <c r="M4" i="10"/>
  <c r="Q44" i="10"/>
  <c r="Q45" i="10"/>
  <c r="D9" i="10"/>
  <c r="E9" i="10"/>
  <c r="D25" i="10"/>
  <c r="E25" i="10"/>
  <c r="D13" i="10"/>
  <c r="E13" i="10"/>
  <c r="D29" i="10"/>
  <c r="E29" i="10"/>
  <c r="D17" i="10"/>
  <c r="E17" i="10"/>
  <c r="D33" i="10"/>
  <c r="E33" i="10"/>
  <c r="D5" i="10"/>
  <c r="E5" i="10"/>
  <c r="D21" i="10"/>
  <c r="E21" i="10"/>
  <c r="D37" i="10"/>
  <c r="E37" i="10"/>
  <c r="M10" i="11"/>
  <c r="AV23" i="12"/>
  <c r="AT79" i="12"/>
  <c r="AV79" i="12"/>
  <c r="AT34" i="12"/>
  <c r="AV34" i="12"/>
  <c r="AT84" i="12"/>
  <c r="AT4" i="12"/>
  <c r="AT26" i="12"/>
  <c r="AV26" i="12"/>
  <c r="AV35" i="12"/>
  <c r="AT54" i="12"/>
  <c r="AT62" i="12"/>
  <c r="AT76" i="12"/>
  <c r="AV76" i="12"/>
  <c r="AV16" i="12"/>
  <c r="AT25" i="12"/>
  <c r="AV25" i="12"/>
  <c r="AT7" i="12"/>
  <c r="AV7" i="12"/>
  <c r="AT69" i="12"/>
  <c r="AV69" i="12"/>
  <c r="AT5" i="12"/>
  <c r="AV5" i="12"/>
  <c r="AT48" i="12"/>
  <c r="AV48" i="12"/>
  <c r="AT102" i="12"/>
  <c r="AV14" i="12"/>
  <c r="AV84" i="12"/>
  <c r="AT18" i="12"/>
  <c r="AV18" i="12"/>
  <c r="AT90" i="12"/>
  <c r="AT74" i="12"/>
  <c r="AT67" i="12"/>
  <c r="AV67" i="12"/>
  <c r="AT96" i="12"/>
  <c r="AV96" i="12"/>
  <c r="AT38" i="12"/>
  <c r="AV38" i="12"/>
  <c r="AT64" i="12"/>
  <c r="AV64" i="12"/>
  <c r="AT52" i="12"/>
  <c r="AV52" i="12"/>
  <c r="AT55" i="12"/>
  <c r="AV55" i="12"/>
  <c r="AT32" i="12"/>
  <c r="AV27" i="12"/>
  <c r="AV9" i="12"/>
  <c r="AT71" i="12"/>
  <c r="AV71" i="12"/>
  <c r="AT92" i="12"/>
  <c r="AV92" i="12"/>
  <c r="AV22" i="12"/>
  <c r="AV49" i="12"/>
  <c r="AT86" i="12"/>
  <c r="AV86" i="12"/>
  <c r="AV13" i="12"/>
  <c r="AT30" i="12"/>
  <c r="AV30" i="12"/>
  <c r="AT39" i="12"/>
  <c r="AV39" i="12"/>
  <c r="AV33" i="12"/>
  <c r="AT59" i="12"/>
  <c r="AV59" i="12"/>
  <c r="AT40" i="12"/>
  <c r="AV40" i="12"/>
  <c r="AT103" i="12"/>
  <c r="AV103" i="12"/>
  <c r="AT82" i="12"/>
  <c r="AV82" i="12"/>
  <c r="AT15" i="12"/>
  <c r="AV15" i="12"/>
  <c r="AT29" i="12"/>
  <c r="AV29" i="12"/>
  <c r="AT45" i="12"/>
  <c r="AV45" i="12"/>
  <c r="AT61" i="12"/>
  <c r="AV61" i="12"/>
  <c r="AT8" i="12"/>
  <c r="AV8" i="12"/>
  <c r="AT50" i="12"/>
  <c r="AV50" i="12"/>
  <c r="AT70" i="12"/>
  <c r="AV70" i="12"/>
  <c r="AT36" i="12"/>
  <c r="AV36" i="12"/>
  <c r="AT91" i="12"/>
  <c r="AV91" i="12"/>
  <c r="AV6" i="12"/>
  <c r="AT65" i="12"/>
  <c r="AV65" i="12"/>
  <c r="AT44" i="12"/>
  <c r="AV44" i="12"/>
  <c r="AT21" i="12"/>
  <c r="AV21" i="12"/>
  <c r="AT11" i="12"/>
  <c r="AV11" i="12"/>
  <c r="AV43" i="12"/>
  <c r="AT78" i="12"/>
  <c r="AV78" i="12"/>
  <c r="AV63" i="12"/>
  <c r="AT37" i="12"/>
  <c r="AV37" i="12"/>
  <c r="AV51" i="12"/>
  <c r="AV58" i="12"/>
  <c r="AV4" i="12"/>
  <c r="AT94" i="12"/>
  <c r="AV94" i="12"/>
  <c r="AT83" i="12"/>
  <c r="AV83" i="12"/>
  <c r="AT77" i="12"/>
  <c r="AV77" i="12"/>
  <c r="AV32" i="12"/>
  <c r="AV47" i="12"/>
  <c r="AT31" i="12"/>
  <c r="AV31" i="12"/>
  <c r="AT97" i="12"/>
  <c r="AV97" i="12"/>
  <c r="AT95" i="12"/>
  <c r="AV95" i="12"/>
  <c r="AT72" i="12"/>
  <c r="AV72" i="12"/>
  <c r="AV20" i="12"/>
  <c r="AV62" i="12"/>
  <c r="AV98" i="12"/>
  <c r="AT93" i="12"/>
  <c r="AV93" i="12"/>
  <c r="AV101" i="12"/>
  <c r="AT60" i="12"/>
  <c r="AV60" i="12"/>
  <c r="AV99" i="12"/>
  <c r="AT89" i="12"/>
  <c r="AV89" i="12"/>
  <c r="AT100" i="12"/>
  <c r="AV100" i="12"/>
  <c r="AV54" i="12"/>
  <c r="AT68" i="12"/>
  <c r="AV68" i="12"/>
  <c r="AV19" i="12"/>
  <c r="AT85" i="12"/>
  <c r="AV85" i="12"/>
  <c r="AV42" i="12"/>
  <c r="AV66" i="12"/>
  <c r="AV81" i="12"/>
  <c r="AV90" i="12"/>
  <c r="AV10" i="12"/>
  <c r="AT73" i="12"/>
  <c r="AV73" i="12"/>
  <c r="AT87" i="12"/>
  <c r="AV87" i="12"/>
  <c r="AT56" i="12"/>
  <c r="AV56" i="12"/>
  <c r="AT75" i="12"/>
  <c r="AV75" i="12"/>
  <c r="AV80" i="12"/>
  <c r="AV41" i="12"/>
  <c r="AT17" i="12"/>
  <c r="AV17" i="12"/>
  <c r="AV24" i="12"/>
  <c r="AV102" i="12"/>
  <c r="AV74" i="12"/>
  <c r="AV88" i="12"/>
  <c r="AT57" i="12"/>
  <c r="AV57" i="12"/>
  <c r="AV53" i="12"/>
  <c r="F13" i="10"/>
  <c r="G13" i="10"/>
  <c r="H13" i="10"/>
  <c r="L13" i="10"/>
  <c r="F33" i="10"/>
  <c r="G33" i="10"/>
  <c r="H33" i="10"/>
  <c r="O33" i="10"/>
  <c r="F25" i="10"/>
  <c r="G25" i="10"/>
  <c r="H25" i="10"/>
  <c r="N25" i="10"/>
  <c r="F5" i="10"/>
  <c r="G5" i="10"/>
  <c r="H5" i="10"/>
  <c r="M5" i="10"/>
  <c r="F37" i="10"/>
  <c r="G37" i="10"/>
  <c r="H37" i="10"/>
  <c r="L37" i="10"/>
  <c r="F17" i="10"/>
  <c r="G17" i="10"/>
  <c r="H17" i="10"/>
  <c r="O17" i="10"/>
  <c r="F9" i="10"/>
  <c r="G9" i="10"/>
  <c r="H9" i="10"/>
  <c r="K9" i="10"/>
  <c r="F21" i="10"/>
  <c r="G21" i="10"/>
  <c r="H21" i="10"/>
  <c r="M21" i="10"/>
  <c r="F29" i="10"/>
  <c r="G29" i="10"/>
  <c r="H29" i="10"/>
  <c r="M29" i="10"/>
  <c r="K16" i="10"/>
  <c r="Q3" i="10"/>
  <c r="M16" i="10"/>
  <c r="O16" i="10"/>
  <c r="L16" i="10"/>
  <c r="M39" i="10"/>
  <c r="N39" i="10"/>
  <c r="K15" i="10"/>
  <c r="O35" i="10"/>
  <c r="M38" i="10"/>
  <c r="L12" i="10"/>
  <c r="M12" i="10"/>
  <c r="N32" i="10"/>
  <c r="O11" i="10"/>
  <c r="L31" i="10"/>
  <c r="N10" i="10"/>
  <c r="K10" i="10"/>
  <c r="N24" i="10"/>
  <c r="O28" i="10"/>
  <c r="L7" i="10"/>
  <c r="M27" i="10"/>
  <c r="N27" i="10"/>
  <c r="O6" i="10"/>
  <c r="L26" i="10"/>
  <c r="K4" i="10"/>
  <c r="M19" i="10"/>
  <c r="N19" i="10"/>
  <c r="K23" i="10"/>
  <c r="O36" i="10"/>
  <c r="L22" i="10"/>
  <c r="O41" i="10"/>
  <c r="L20" i="10"/>
  <c r="M20" i="10"/>
  <c r="N40" i="10"/>
  <c r="N8" i="10"/>
  <c r="M18" i="10"/>
  <c r="L39" i="10"/>
  <c r="M15" i="10"/>
  <c r="N15" i="10"/>
  <c r="K35" i="10"/>
  <c r="L38" i="10"/>
  <c r="K12" i="10"/>
  <c r="O32" i="10"/>
  <c r="M32" i="10"/>
  <c r="K11" i="10"/>
  <c r="O31" i="10"/>
  <c r="M10" i="10"/>
  <c r="O24" i="10"/>
  <c r="M24" i="10"/>
  <c r="N28" i="10"/>
  <c r="O7" i="10"/>
  <c r="L27" i="10"/>
  <c r="N6" i="10"/>
  <c r="K6" i="10"/>
  <c r="O26" i="10"/>
  <c r="N4" i="10"/>
  <c r="L19" i="10"/>
  <c r="M23" i="10"/>
  <c r="N23" i="10"/>
  <c r="N36" i="10"/>
  <c r="O22" i="10"/>
  <c r="N41" i="10"/>
  <c r="K20" i="10"/>
  <c r="O40" i="10"/>
  <c r="M40" i="10"/>
  <c r="K8" i="10"/>
  <c r="L18" i="10"/>
  <c r="O39" i="10"/>
  <c r="L15" i="10"/>
  <c r="M35" i="10"/>
  <c r="N35" i="10"/>
  <c r="O38" i="10"/>
  <c r="O12" i="10"/>
  <c r="L32" i="10"/>
  <c r="M11" i="10"/>
  <c r="N11" i="10"/>
  <c r="K31" i="10"/>
  <c r="L10" i="10"/>
  <c r="L24" i="10"/>
  <c r="L28" i="10"/>
  <c r="M28" i="10"/>
  <c r="K7" i="10"/>
  <c r="O27" i="10"/>
  <c r="L6" i="10"/>
  <c r="N26" i="10"/>
  <c r="K26" i="10"/>
  <c r="O4" i="10"/>
  <c r="O19" i="10"/>
  <c r="L23" i="10"/>
  <c r="L36" i="10"/>
  <c r="M36" i="10"/>
  <c r="N22" i="10"/>
  <c r="K22" i="10"/>
  <c r="M41" i="10"/>
  <c r="O20" i="10"/>
  <c r="L40" i="10"/>
  <c r="L8" i="10"/>
  <c r="M8" i="10"/>
  <c r="O18" i="10"/>
  <c r="N38" i="10"/>
  <c r="M31" i="10"/>
  <c r="M7" i="10"/>
  <c r="L4" i="10"/>
  <c r="K41" i="10"/>
  <c r="N18" i="10"/>
  <c r="M11" i="11"/>
  <c r="O9" i="10"/>
  <c r="K13" i="10"/>
  <c r="L9" i="10"/>
  <c r="M33" i="10"/>
  <c r="N13" i="10"/>
  <c r="N17" i="10"/>
  <c r="M17" i="10"/>
  <c r="M9" i="10"/>
  <c r="N33" i="10"/>
  <c r="O29" i="10"/>
  <c r="M25" i="10"/>
  <c r="O21" i="10"/>
  <c r="L21" i="10"/>
  <c r="K5" i="10"/>
  <c r="L5" i="10"/>
  <c r="N37" i="10"/>
  <c r="L29" i="10"/>
  <c r="N29" i="10"/>
  <c r="K25" i="10"/>
  <c r="L25" i="10"/>
  <c r="N21" i="10"/>
  <c r="O5" i="10"/>
  <c r="N9" i="10"/>
  <c r="K17" i="10"/>
  <c r="L17" i="10"/>
  <c r="M37" i="10"/>
  <c r="K29" i="10"/>
  <c r="O25" i="10"/>
  <c r="K33" i="10"/>
  <c r="L33" i="10"/>
  <c r="M13" i="10"/>
  <c r="K21" i="10"/>
  <c r="N5" i="10"/>
  <c r="K37" i="10"/>
  <c r="O37" i="10"/>
  <c r="O13" i="10"/>
  <c r="Q46" i="10"/>
  <c r="Q47" i="10"/>
  <c r="Q4" i="10"/>
  <c r="M12" i="11"/>
  <c r="M13" i="11"/>
  <c r="Q5" i="10"/>
  <c r="Q48" i="10"/>
  <c r="Q6" i="10"/>
  <c r="M14" i="11"/>
  <c r="M15" i="11"/>
  <c r="Q49" i="10"/>
  <c r="Q7" i="10"/>
  <c r="Q50" i="10"/>
  <c r="Q8" i="10"/>
  <c r="M16" i="11"/>
  <c r="M17" i="11"/>
  <c r="Q51" i="10"/>
  <c r="Q9" i="10"/>
  <c r="Q10" i="10"/>
  <c r="M18" i="11"/>
  <c r="M19" i="11"/>
  <c r="Q11" i="10"/>
  <c r="Q12" i="10"/>
  <c r="M20" i="11"/>
  <c r="Q13" i="10"/>
  <c r="M21" i="11"/>
  <c r="M22" i="11"/>
  <c r="Q14" i="10"/>
  <c r="Q15" i="10"/>
  <c r="M23" i="11"/>
  <c r="Q16" i="10"/>
  <c r="M24" i="11"/>
  <c r="M25" i="11"/>
  <c r="Q17" i="10"/>
  <c r="Q18" i="10"/>
  <c r="M26" i="11"/>
  <c r="Q19" i="10"/>
  <c r="M27" i="11"/>
  <c r="M28" i="11"/>
  <c r="Q20" i="10"/>
  <c r="Q21" i="10"/>
  <c r="M29" i="11"/>
  <c r="Q22" i="10"/>
  <c r="M30" i="11"/>
  <c r="Q23" i="10"/>
  <c r="Q24" i="10"/>
  <c r="Q25" i="10"/>
  <c r="Q26" i="10"/>
  <c r="Q27" i="10"/>
  <c r="Q28" i="10"/>
  <c r="Q29" i="10"/>
  <c r="Q30" i="10"/>
  <c r="Q31" i="10"/>
  <c r="Q32" i="10"/>
  <c r="Q33" i="10"/>
  <c r="Q34" i="10"/>
  <c r="Q36" i="10"/>
  <c r="Q35" i="10"/>
  <c r="Q37" i="10"/>
  <c r="Q38" i="10"/>
  <c r="Q39" i="10"/>
  <c r="Q40" i="10"/>
  <c r="Q41" i="10"/>
  <c r="S13" i="16" l="1"/>
  <c r="Z5" i="9"/>
  <c r="S86" i="16"/>
  <c r="S43" i="16"/>
  <c r="Y7" i="7"/>
  <c r="AB23" i="7"/>
  <c r="AC23" i="7" s="1"/>
  <c r="AE23" i="7" s="1"/>
  <c r="AF23" i="7" s="1"/>
  <c r="Z31" i="7"/>
  <c r="S21" i="7"/>
  <c r="Z88" i="7"/>
  <c r="Z104" i="7"/>
  <c r="S102" i="7"/>
  <c r="Z7" i="16"/>
  <c r="X17" i="16"/>
  <c r="Y57" i="16"/>
  <c r="Z65" i="16"/>
  <c r="AA67" i="16"/>
  <c r="AB67" i="16" s="1"/>
  <c r="AD67" i="16" s="1"/>
  <c r="V91" i="16"/>
  <c r="W67" i="16"/>
  <c r="Z16" i="9"/>
  <c r="Y35" i="9"/>
  <c r="Y31" i="9"/>
  <c r="V29" i="9"/>
  <c r="Y40" i="9"/>
  <c r="AB66" i="9"/>
  <c r="V105" i="9"/>
  <c r="X29" i="15"/>
  <c r="AB31" i="15"/>
  <c r="V82" i="15"/>
  <c r="T21" i="15"/>
  <c r="V13" i="15"/>
  <c r="AA101" i="15"/>
  <c r="Y25" i="9"/>
  <c r="W10" i="15"/>
  <c r="AA78" i="15"/>
  <c r="W31" i="9"/>
  <c r="V25" i="15"/>
  <c r="Y29" i="9"/>
  <c r="AA27" i="9"/>
  <c r="AE61" i="15"/>
  <c r="AB97" i="16"/>
  <c r="AD97" i="16" s="1"/>
  <c r="X28" i="16"/>
  <c r="AA7" i="7"/>
  <c r="W105" i="9"/>
  <c r="W20" i="16"/>
  <c r="AB89" i="16"/>
  <c r="AD89" i="16" s="1"/>
  <c r="AE89" i="16" s="1"/>
  <c r="AB44" i="15"/>
  <c r="AA31" i="7"/>
  <c r="Z49" i="7"/>
  <c r="AC36" i="16"/>
  <c r="Z83" i="16"/>
  <c r="AA96" i="7"/>
  <c r="AB38" i="15"/>
  <c r="V12" i="9"/>
  <c r="AE68" i="16"/>
  <c r="Z67" i="7"/>
  <c r="AB16" i="15"/>
  <c r="V33" i="15"/>
  <c r="AG53" i="15"/>
  <c r="AB48" i="16"/>
  <c r="AD48" i="16" s="1"/>
  <c r="AE48" i="16" s="1"/>
  <c r="W101" i="15"/>
  <c r="T77" i="15"/>
  <c r="AB12" i="15"/>
  <c r="AC81" i="15"/>
  <c r="AB5" i="9"/>
  <c r="Z23" i="7"/>
  <c r="Y31" i="7"/>
  <c r="X49" i="7"/>
  <c r="AB75" i="7"/>
  <c r="AC75" i="7" s="1"/>
  <c r="AE75" i="7" s="1"/>
  <c r="AF75" i="7" s="1"/>
  <c r="V88" i="7"/>
  <c r="V104" i="7"/>
  <c r="W104" i="7"/>
  <c r="X9" i="16"/>
  <c r="T7" i="16"/>
  <c r="Z17" i="16"/>
  <c r="V81" i="16"/>
  <c r="R81" i="16" s="1"/>
  <c r="Y83" i="16"/>
  <c r="Y16" i="9"/>
  <c r="V35" i="9"/>
  <c r="AA8" i="9"/>
  <c r="AA31" i="9"/>
  <c r="V31" i="9"/>
  <c r="AE29" i="9"/>
  <c r="AA66" i="9"/>
  <c r="AB105" i="9"/>
  <c r="AE70" i="9"/>
  <c r="AG70" i="9" s="1"/>
  <c r="Y68" i="9"/>
  <c r="AA105" i="9"/>
  <c r="Y10" i="15"/>
  <c r="AB29" i="15"/>
  <c r="Y54" i="15"/>
  <c r="AG20" i="15"/>
  <c r="Z54" i="15"/>
  <c r="Z25" i="9"/>
  <c r="V10" i="15"/>
  <c r="X84" i="15"/>
  <c r="T12" i="16"/>
  <c r="W28" i="16"/>
  <c r="V20" i="16"/>
  <c r="U97" i="16"/>
  <c r="AA44" i="15"/>
  <c r="AB81" i="16"/>
  <c r="AD81" i="16" s="1"/>
  <c r="X88" i="7"/>
  <c r="X49" i="16"/>
  <c r="Y49" i="7"/>
  <c r="X36" i="16"/>
  <c r="W83" i="16"/>
  <c r="R77" i="16"/>
  <c r="X96" i="7"/>
  <c r="W12" i="9"/>
  <c r="AC28" i="16"/>
  <c r="AE28" i="16" s="1"/>
  <c r="W75" i="7"/>
  <c r="W81" i="16"/>
  <c r="Y81" i="16"/>
  <c r="W33" i="15"/>
  <c r="Y25" i="16"/>
  <c r="W73" i="16"/>
  <c r="Y22" i="15"/>
  <c r="AD78" i="15"/>
  <c r="AF78" i="15" s="1"/>
  <c r="V7" i="16"/>
  <c r="R7" i="16" s="1"/>
  <c r="AE58" i="9"/>
  <c r="AC85" i="15"/>
  <c r="AB31" i="7"/>
  <c r="AC31" i="7" s="1"/>
  <c r="AE31" i="7" s="1"/>
  <c r="AF31" i="7" s="1"/>
  <c r="Z15" i="7"/>
  <c r="Y23" i="7"/>
  <c r="W31" i="7"/>
  <c r="S72" i="7"/>
  <c r="AA75" i="7"/>
  <c r="AD88" i="7"/>
  <c r="AB67" i="7"/>
  <c r="AC67" i="7" s="1"/>
  <c r="AE67" i="7" s="1"/>
  <c r="AF67" i="7" s="1"/>
  <c r="AA12" i="16"/>
  <c r="AB12" i="16" s="1"/>
  <c r="AD12" i="16" s="1"/>
  <c r="Z9" i="16"/>
  <c r="X25" i="16"/>
  <c r="W57" i="16"/>
  <c r="V17" i="16"/>
  <c r="R17" i="16" s="1"/>
  <c r="Z49" i="16"/>
  <c r="AC67" i="16"/>
  <c r="U91" i="16"/>
  <c r="W41" i="16"/>
  <c r="S35" i="16"/>
  <c r="T67" i="16"/>
  <c r="AA41" i="16"/>
  <c r="AB41" i="16" s="1"/>
  <c r="AD41" i="16" s="1"/>
  <c r="Y32" i="9"/>
  <c r="Z8" i="9"/>
  <c r="AB31" i="9"/>
  <c r="AB24" i="9"/>
  <c r="AB29" i="9"/>
  <c r="AB55" i="9"/>
  <c r="Z66" i="9"/>
  <c r="X25" i="15"/>
  <c r="X13" i="15"/>
  <c r="AA29" i="15"/>
  <c r="Z59" i="15"/>
  <c r="Y31" i="15"/>
  <c r="T19" i="15"/>
  <c r="W27" i="15"/>
  <c r="AB101" i="15"/>
  <c r="AE86" i="15"/>
  <c r="AA31" i="15"/>
  <c r="Z31" i="9"/>
  <c r="W32" i="9"/>
  <c r="AA10" i="15"/>
  <c r="Z84" i="15"/>
  <c r="Z12" i="9"/>
  <c r="W8" i="9"/>
  <c r="Y55" i="9"/>
  <c r="Y28" i="16"/>
  <c r="U12" i="16"/>
  <c r="U20" i="16"/>
  <c r="Z44" i="15"/>
  <c r="U89" i="16"/>
  <c r="W36" i="16"/>
  <c r="X83" i="16"/>
  <c r="V65" i="16"/>
  <c r="Z75" i="7"/>
  <c r="X54" i="7"/>
  <c r="Y67" i="7"/>
  <c r="AD67" i="7"/>
  <c r="AE84" i="15"/>
  <c r="AC75" i="16"/>
  <c r="X20" i="16"/>
  <c r="Z28" i="16"/>
  <c r="Z33" i="15"/>
  <c r="AC6" i="15"/>
  <c r="AC82" i="15"/>
  <c r="X7" i="7"/>
  <c r="U44" i="7"/>
  <c r="W95" i="16"/>
  <c r="S95" i="16" s="1"/>
  <c r="W90" i="16"/>
  <c r="Y82" i="16"/>
  <c r="R82" i="16" s="1"/>
  <c r="U66" i="16"/>
  <c r="V35" i="16"/>
  <c r="W93" i="9"/>
  <c r="AE9" i="9"/>
  <c r="V7" i="7"/>
  <c r="U49" i="7"/>
  <c r="S49" i="7" s="1"/>
  <c r="Y15" i="7"/>
  <c r="W23" i="7"/>
  <c r="AD31" i="7"/>
  <c r="AD49" i="7"/>
  <c r="AA67" i="7"/>
  <c r="Y88" i="7"/>
  <c r="U9" i="16"/>
  <c r="AA7" i="16"/>
  <c r="AB7" i="16" s="1"/>
  <c r="AD7" i="16" s="1"/>
  <c r="Z25" i="16"/>
  <c r="Y17" i="16"/>
  <c r="T73" i="16"/>
  <c r="T83" i="16"/>
  <c r="AC91" i="16"/>
  <c r="U41" i="16"/>
  <c r="V83" i="16"/>
  <c r="AE52" i="16"/>
  <c r="U67" i="16"/>
  <c r="V67" i="16"/>
  <c r="Z67" i="16"/>
  <c r="AB37" i="9"/>
  <c r="V24" i="9"/>
  <c r="AA29" i="9"/>
  <c r="V66" i="9"/>
  <c r="T66" i="9" s="1"/>
  <c r="AE66" i="9"/>
  <c r="X33" i="15"/>
  <c r="Z29" i="15"/>
  <c r="AB61" i="15"/>
  <c r="V27" i="15"/>
  <c r="T27" i="15" s="1"/>
  <c r="V101" i="15"/>
  <c r="X70" i="15"/>
  <c r="X102" i="15"/>
  <c r="W6" i="15"/>
  <c r="AA33" i="9"/>
  <c r="Z101" i="15"/>
  <c r="AB32" i="9"/>
  <c r="W9" i="16"/>
  <c r="AB9" i="16"/>
  <c r="AD9" i="16" s="1"/>
  <c r="AB35" i="9"/>
  <c r="Y89" i="16"/>
  <c r="AD44" i="7"/>
  <c r="Y20" i="16"/>
  <c r="Y44" i="15"/>
  <c r="T89" i="16"/>
  <c r="X12" i="16"/>
  <c r="V36" i="16"/>
  <c r="X16" i="15"/>
  <c r="V84" i="15"/>
  <c r="AA12" i="15"/>
  <c r="Y84" i="15"/>
  <c r="U33" i="16"/>
  <c r="X15" i="7"/>
  <c r="W65" i="16"/>
  <c r="S65" i="16" s="1"/>
  <c r="V28" i="16"/>
  <c r="U73" i="16"/>
  <c r="AC12" i="16"/>
  <c r="X33" i="16"/>
  <c r="AD22" i="15"/>
  <c r="AF22" i="15" s="1"/>
  <c r="X8" i="15"/>
  <c r="T79" i="16"/>
  <c r="V60" i="15"/>
  <c r="AA49" i="15"/>
  <c r="T49" i="15" s="1"/>
  <c r="AD28" i="15"/>
  <c r="AF28" i="15" s="1"/>
  <c r="AD11" i="15"/>
  <c r="AF11" i="15" s="1"/>
  <c r="Y5" i="9"/>
  <c r="W15" i="7"/>
  <c r="AD23" i="7"/>
  <c r="V31" i="7"/>
  <c r="V49" i="7"/>
  <c r="V67" i="7"/>
  <c r="Y75" i="7"/>
  <c r="Z54" i="7"/>
  <c r="W67" i="7"/>
  <c r="AA54" i="7"/>
  <c r="W54" i="7"/>
  <c r="AA20" i="16"/>
  <c r="AB20" i="16" s="1"/>
  <c r="AD20" i="16" s="1"/>
  <c r="AE20" i="16" s="1"/>
  <c r="Y9" i="16"/>
  <c r="V25" i="16"/>
  <c r="Z73" i="16"/>
  <c r="AC83" i="16"/>
  <c r="AE83" i="16" s="1"/>
  <c r="S83" i="16" s="1"/>
  <c r="AC41" i="16"/>
  <c r="AE41" i="16" s="1"/>
  <c r="U49" i="16"/>
  <c r="Y67" i="16"/>
  <c r="V40" i="9"/>
  <c r="AB10" i="15"/>
  <c r="AB25" i="15"/>
  <c r="W31" i="15"/>
  <c r="Z27" i="15"/>
  <c r="Z78" i="15"/>
  <c r="T50" i="15"/>
  <c r="V6" i="15"/>
  <c r="W38" i="15"/>
  <c r="W33" i="9"/>
  <c r="AA25" i="9"/>
  <c r="W68" i="9"/>
  <c r="AA25" i="15"/>
  <c r="AB16" i="9"/>
  <c r="X65" i="16"/>
  <c r="W91" i="16"/>
  <c r="X44" i="15"/>
  <c r="W12" i="16"/>
  <c r="AC96" i="16"/>
  <c r="U36" i="16"/>
  <c r="Z16" i="15"/>
  <c r="AB12" i="9"/>
  <c r="V89" i="16"/>
  <c r="V12" i="15"/>
  <c r="V8" i="15"/>
  <c r="Y8" i="15"/>
  <c r="AA75" i="16"/>
  <c r="AB75" i="16" s="1"/>
  <c r="AD75" i="16" s="1"/>
  <c r="AE75" i="16" s="1"/>
  <c r="AA70" i="15"/>
  <c r="V73" i="16"/>
  <c r="Y73" i="16"/>
  <c r="AE46" i="16"/>
  <c r="S46" i="16" s="1"/>
  <c r="Y91" i="16"/>
  <c r="AA16" i="15"/>
  <c r="AC27" i="15"/>
  <c r="AD27" i="15" s="1"/>
  <c r="AF27" i="15" s="1"/>
  <c r="AG27" i="15" s="1"/>
  <c r="U27" i="15" s="1"/>
  <c r="Z12" i="16"/>
  <c r="AA33" i="15"/>
  <c r="AA15" i="7"/>
  <c r="AC37" i="7"/>
  <c r="AE37" i="7" s="1"/>
  <c r="AF37" i="7" s="1"/>
  <c r="V24" i="7"/>
  <c r="Z91" i="16"/>
  <c r="AC103" i="15"/>
  <c r="AD86" i="15"/>
  <c r="AF86" i="15" s="1"/>
  <c r="AG5" i="15"/>
  <c r="U5" i="15" s="1"/>
  <c r="AD15" i="7"/>
  <c r="V23" i="7"/>
  <c r="V96" i="7"/>
  <c r="W88" i="7"/>
  <c r="AD54" i="7"/>
  <c r="Y96" i="7"/>
  <c r="Z96" i="7"/>
  <c r="X7" i="16"/>
  <c r="Z33" i="16"/>
  <c r="T25" i="16"/>
  <c r="AE42" i="16"/>
  <c r="AA49" i="16"/>
  <c r="AB49" i="16" s="1"/>
  <c r="AD49" i="16" s="1"/>
  <c r="AE49" i="16" s="1"/>
  <c r="S49" i="16" s="1"/>
  <c r="V75" i="16"/>
  <c r="R75" i="16" s="1"/>
  <c r="V41" i="16"/>
  <c r="AC49" i="16"/>
  <c r="Z41" i="16"/>
  <c r="AA24" i="9"/>
  <c r="AB27" i="9"/>
  <c r="X31" i="15"/>
  <c r="T31" i="15" s="1"/>
  <c r="Y27" i="15"/>
  <c r="X38" i="15"/>
  <c r="W27" i="9"/>
  <c r="W84" i="15"/>
  <c r="W28" i="9"/>
  <c r="AE25" i="15"/>
  <c r="Z25" i="15"/>
  <c r="V20" i="9"/>
  <c r="AB33" i="16"/>
  <c r="AD33" i="16" s="1"/>
  <c r="AE33" i="16" s="1"/>
  <c r="X67" i="7"/>
  <c r="W44" i="15"/>
  <c r="AA91" i="16"/>
  <c r="AB91" i="16" s="1"/>
  <c r="AD91" i="16" s="1"/>
  <c r="AB36" i="9"/>
  <c r="V12" i="16"/>
  <c r="AA57" i="16"/>
  <c r="AB57" i="16" s="1"/>
  <c r="AD57" i="16" s="1"/>
  <c r="AC7" i="16"/>
  <c r="T36" i="16"/>
  <c r="R36" i="16" s="1"/>
  <c r="X23" i="7"/>
  <c r="AA28" i="9"/>
  <c r="V16" i="15"/>
  <c r="T16" i="15" s="1"/>
  <c r="X75" i="7"/>
  <c r="W16" i="15"/>
  <c r="AE16" i="15"/>
  <c r="AE29" i="15"/>
  <c r="AE6" i="15"/>
  <c r="AE59" i="16"/>
  <c r="AE10" i="15"/>
  <c r="AD54" i="15"/>
  <c r="AF54" i="15" s="1"/>
  <c r="AB27" i="15"/>
  <c r="T91" i="16"/>
  <c r="Y75" i="16"/>
  <c r="Z6" i="15"/>
  <c r="X33" i="9"/>
  <c r="T33" i="9" s="1"/>
  <c r="X94" i="7"/>
  <c r="Y65" i="16"/>
  <c r="T55" i="16"/>
  <c r="R55" i="16" s="1"/>
  <c r="AC61" i="15"/>
  <c r="W20" i="15"/>
  <c r="AC16" i="15"/>
  <c r="AD16" i="15" s="1"/>
  <c r="AF16" i="15" s="1"/>
  <c r="AB15" i="7"/>
  <c r="AC15" i="7" s="1"/>
  <c r="AE15" i="7" s="1"/>
  <c r="AF15" i="7" s="1"/>
  <c r="Y54" i="7"/>
  <c r="V54" i="7"/>
  <c r="AA36" i="16"/>
  <c r="AB36" i="16" s="1"/>
  <c r="AD36" i="16" s="1"/>
  <c r="AE36" i="16" s="1"/>
  <c r="R26" i="16"/>
  <c r="U75" i="16"/>
  <c r="X41" i="16"/>
  <c r="V49" i="16"/>
  <c r="R49" i="16" s="1"/>
  <c r="Z75" i="16"/>
  <c r="Z31" i="15"/>
  <c r="AA102" i="15"/>
  <c r="W70" i="15"/>
  <c r="W25" i="9"/>
  <c r="W66" i="9"/>
  <c r="Y25" i="15"/>
  <c r="Z20" i="16"/>
  <c r="X89" i="16"/>
  <c r="AB17" i="16"/>
  <c r="AD17" i="16" s="1"/>
  <c r="AC104" i="16"/>
  <c r="AA68" i="9"/>
  <c r="AD75" i="7"/>
  <c r="X70" i="7"/>
  <c r="AC62" i="7"/>
  <c r="AE62" i="7" s="1"/>
  <c r="AF62" i="7" s="1"/>
  <c r="W78" i="16"/>
  <c r="X52" i="16"/>
  <c r="S52" i="16" s="1"/>
  <c r="U8" i="16"/>
  <c r="Y8" i="16"/>
  <c r="W61" i="15"/>
  <c r="X61" i="15"/>
  <c r="AA53" i="15"/>
  <c r="V53" i="15"/>
  <c r="W29" i="15"/>
  <c r="V29" i="15"/>
  <c r="T29" i="15" s="1"/>
  <c r="AB80" i="16"/>
  <c r="AD80" i="16" s="1"/>
  <c r="Y72" i="16"/>
  <c r="AD44" i="9"/>
  <c r="AF44" i="9" s="1"/>
  <c r="T35" i="7"/>
  <c r="AE64" i="16"/>
  <c r="T20" i="15"/>
  <c r="AA22" i="16"/>
  <c r="AB22" i="16" s="1"/>
  <c r="AD22" i="16" s="1"/>
  <c r="AE22" i="16" s="1"/>
  <c r="S22" i="16" s="1"/>
  <c r="Y22" i="16"/>
  <c r="V22" i="16"/>
  <c r="R22" i="16" s="1"/>
  <c r="U22" i="16"/>
  <c r="W22" i="16"/>
  <c r="X75" i="9"/>
  <c r="AB75" i="9"/>
  <c r="W75" i="9"/>
  <c r="S17" i="7"/>
  <c r="T25" i="7"/>
  <c r="S31" i="7"/>
  <c r="T43" i="7"/>
  <c r="S94" i="16"/>
  <c r="U20" i="15"/>
  <c r="S39" i="16"/>
  <c r="S59" i="16"/>
  <c r="AG15" i="15"/>
  <c r="Z74" i="16"/>
  <c r="X74" i="16"/>
  <c r="W74" i="16"/>
  <c r="R35" i="16"/>
  <c r="W27" i="16"/>
  <c r="AA27" i="16"/>
  <c r="AB27" i="16" s="1"/>
  <c r="AD27" i="16" s="1"/>
  <c r="AE27" i="16" s="1"/>
  <c r="U27" i="16"/>
  <c r="V27" i="16"/>
  <c r="R27" i="16" s="1"/>
  <c r="Y11" i="16"/>
  <c r="V11" i="16"/>
  <c r="AC11" i="16"/>
  <c r="AE11" i="16" s="1"/>
  <c r="U11" i="16"/>
  <c r="W11" i="16"/>
  <c r="AC97" i="9"/>
  <c r="AD97" i="9" s="1"/>
  <c r="AF97" i="9" s="1"/>
  <c r="W97" i="9"/>
  <c r="AE97" i="9"/>
  <c r="S23" i="7"/>
  <c r="AE72" i="16"/>
  <c r="Z61" i="15"/>
  <c r="Y85" i="15"/>
  <c r="R65" i="16"/>
  <c r="X101" i="15"/>
  <c r="T101" i="15" s="1"/>
  <c r="AG19" i="15"/>
  <c r="U19" i="15" s="1"/>
  <c r="AA100" i="16"/>
  <c r="AB100" i="16" s="1"/>
  <c r="AD100" i="16" s="1"/>
  <c r="AE100" i="16" s="1"/>
  <c r="S100" i="16" s="1"/>
  <c r="Y100" i="16"/>
  <c r="R100" i="16" s="1"/>
  <c r="R79" i="16"/>
  <c r="T45" i="16"/>
  <c r="U45" i="16"/>
  <c r="AC45" i="16"/>
  <c r="AE45" i="16" s="1"/>
  <c r="S45" i="16" s="1"/>
  <c r="Y45" i="16"/>
  <c r="W45" i="16"/>
  <c r="AA45" i="16"/>
  <c r="AB45" i="16" s="1"/>
  <c r="AD45" i="16" s="1"/>
  <c r="AA62" i="15"/>
  <c r="AC62" i="15"/>
  <c r="AC47" i="15"/>
  <c r="AD47" i="15" s="1"/>
  <c r="AF47" i="15" s="1"/>
  <c r="AG47" i="15" s="1"/>
  <c r="AA47" i="15"/>
  <c r="W47" i="15"/>
  <c r="X47" i="15"/>
  <c r="Y47" i="15"/>
  <c r="AE30" i="15"/>
  <c r="AC30" i="15"/>
  <c r="AD30" i="15" s="1"/>
  <c r="AF30" i="15" s="1"/>
  <c r="AG28" i="15"/>
  <c r="V26" i="15"/>
  <c r="AE26" i="15"/>
  <c r="Z26" i="15"/>
  <c r="X26" i="15"/>
  <c r="W15" i="15"/>
  <c r="AA15" i="15"/>
  <c r="Z13" i="15"/>
  <c r="W13" i="15"/>
  <c r="AE13" i="15"/>
  <c r="Y13" i="15"/>
  <c r="X7" i="15"/>
  <c r="T7" i="15" s="1"/>
  <c r="AE7" i="15"/>
  <c r="AB7" i="15"/>
  <c r="AA7" i="15"/>
  <c r="T50" i="7"/>
  <c r="T83" i="9"/>
  <c r="T34" i="15"/>
  <c r="V61" i="15"/>
  <c r="W77" i="15"/>
  <c r="AB81" i="7"/>
  <c r="AC81" i="7" s="1"/>
  <c r="AE81" i="7" s="1"/>
  <c r="AF81" i="7" s="1"/>
  <c r="AD81" i="7"/>
  <c r="U81" i="7"/>
  <c r="Y81" i="7"/>
  <c r="AD68" i="7"/>
  <c r="V68" i="7"/>
  <c r="V60" i="7"/>
  <c r="AD60" i="7"/>
  <c r="Z55" i="7"/>
  <c r="AD55" i="7"/>
  <c r="AD32" i="7"/>
  <c r="AB32" i="7"/>
  <c r="AD8" i="7"/>
  <c r="AB8" i="7"/>
  <c r="AC8" i="7" s="1"/>
  <c r="AE8" i="7" s="1"/>
  <c r="AF8" i="7" s="1"/>
  <c r="V97" i="16"/>
  <c r="X97" i="16"/>
  <c r="S97" i="16" s="1"/>
  <c r="T97" i="16"/>
  <c r="Z97" i="16"/>
  <c r="Y97" i="16"/>
  <c r="AC97" i="16"/>
  <c r="AE97" i="16" s="1"/>
  <c r="V50" i="16"/>
  <c r="X50" i="16"/>
  <c r="V42" i="16"/>
  <c r="X42" i="16"/>
  <c r="S42" i="16" s="1"/>
  <c r="T42" i="16"/>
  <c r="R42" i="16" s="1"/>
  <c r="T37" i="16"/>
  <c r="AA37" i="16"/>
  <c r="AB37" i="16" s="1"/>
  <c r="AD37" i="16" s="1"/>
  <c r="Y37" i="16"/>
  <c r="AC37" i="16"/>
  <c r="AC29" i="16"/>
  <c r="AA29" i="16"/>
  <c r="AB29" i="16" s="1"/>
  <c r="AD29" i="16" s="1"/>
  <c r="Y29" i="16"/>
  <c r="AC75" i="15"/>
  <c r="AD75" i="15" s="1"/>
  <c r="AF75" i="15" s="1"/>
  <c r="AG75" i="15" s="1"/>
  <c r="V75" i="15"/>
  <c r="T75" i="15" s="1"/>
  <c r="W75" i="15"/>
  <c r="AE75" i="15"/>
  <c r="AB75" i="15"/>
  <c r="S78" i="7"/>
  <c r="S35" i="7"/>
  <c r="S98" i="7"/>
  <c r="AE71" i="16"/>
  <c r="S75" i="16"/>
  <c r="R74" i="16"/>
  <c r="AG25" i="15"/>
  <c r="U25" i="15" s="1"/>
  <c r="T73" i="15"/>
  <c r="AA61" i="15"/>
  <c r="T61" i="15" s="1"/>
  <c r="T44" i="15"/>
  <c r="W45" i="9"/>
  <c r="Y45" i="9"/>
  <c r="X41" i="9"/>
  <c r="AB41" i="9"/>
  <c r="X17" i="9"/>
  <c r="Z17" i="9"/>
  <c r="AA17" i="9"/>
  <c r="X9" i="9"/>
  <c r="T9" i="9" s="1"/>
  <c r="Z9" i="9"/>
  <c r="Z60" i="16"/>
  <c r="AC60" i="16"/>
  <c r="Y60" i="16"/>
  <c r="R60" i="16" s="1"/>
  <c r="AA60" i="16"/>
  <c r="AB60" i="16" s="1"/>
  <c r="AD60" i="16" s="1"/>
  <c r="W60" i="16"/>
  <c r="AE16" i="9"/>
  <c r="W16" i="9"/>
  <c r="AC12" i="9"/>
  <c r="AE12" i="9"/>
  <c r="AA12" i="9"/>
  <c r="W71" i="15"/>
  <c r="AE71" i="15"/>
  <c r="AG71" i="15" s="1"/>
  <c r="AB71" i="15"/>
  <c r="W69" i="15"/>
  <c r="AC67" i="15"/>
  <c r="AD67" i="15" s="1"/>
  <c r="AF67" i="15" s="1"/>
  <c r="AG67" i="15" s="1"/>
  <c r="U67" i="15" s="1"/>
  <c r="X67" i="15"/>
  <c r="T67" i="15" s="1"/>
  <c r="AE67" i="15"/>
  <c r="AD61" i="15"/>
  <c r="AF61" i="15" s="1"/>
  <c r="AG61" i="15" s="1"/>
  <c r="U61" i="15" s="1"/>
  <c r="AA56" i="15"/>
  <c r="AC56" i="15"/>
  <c r="AD56" i="15" s="1"/>
  <c r="AF56" i="15" s="1"/>
  <c r="AG56" i="15" s="1"/>
  <c r="AC41" i="15"/>
  <c r="AD41" i="15" s="1"/>
  <c r="AF41" i="15" s="1"/>
  <c r="Y41" i="15"/>
  <c r="W41" i="15"/>
  <c r="AE41" i="15"/>
  <c r="AC75" i="9"/>
  <c r="AD75" i="9" s="1"/>
  <c r="AF75" i="9" s="1"/>
  <c r="S66" i="16"/>
  <c r="T71" i="15"/>
  <c r="AE54" i="16"/>
  <c r="Z82" i="16"/>
  <c r="AB98" i="16"/>
  <c r="AD98" i="16" s="1"/>
  <c r="X98" i="16"/>
  <c r="Y98" i="16"/>
  <c r="Z98" i="16"/>
  <c r="T98" i="16"/>
  <c r="Y58" i="16"/>
  <c r="R58" i="16" s="1"/>
  <c r="W58" i="16"/>
  <c r="Z26" i="16"/>
  <c r="S26" i="16" s="1"/>
  <c r="X26" i="16"/>
  <c r="V10" i="16"/>
  <c r="R10" i="16" s="1"/>
  <c r="T10" i="16"/>
  <c r="AB103" i="15"/>
  <c r="X103" i="15"/>
  <c r="T103" i="15" s="1"/>
  <c r="Z103" i="15"/>
  <c r="AB95" i="15"/>
  <c r="Z95" i="15"/>
  <c r="AA95" i="15"/>
  <c r="V95" i="15"/>
  <c r="T95" i="15" s="1"/>
  <c r="AB79" i="15"/>
  <c r="AA79" i="15"/>
  <c r="Y55" i="15"/>
  <c r="X55" i="15"/>
  <c r="T55" i="15" s="1"/>
  <c r="W57" i="7"/>
  <c r="Y57" i="7"/>
  <c r="AB57" i="7"/>
  <c r="AC57" i="7" s="1"/>
  <c r="AE57" i="7" s="1"/>
  <c r="AF57" i="7" s="1"/>
  <c r="AA57" i="7"/>
  <c r="AA39" i="7"/>
  <c r="W39" i="7"/>
  <c r="Y34" i="7"/>
  <c r="AD34" i="7"/>
  <c r="X34" i="7"/>
  <c r="W34" i="7"/>
  <c r="Z34" i="7"/>
  <c r="AD26" i="7"/>
  <c r="Y26" i="7"/>
  <c r="Z18" i="7"/>
  <c r="AD18" i="7"/>
  <c r="X18" i="7"/>
  <c r="W18" i="7"/>
  <c r="S18" i="7" s="1"/>
  <c r="V18" i="7"/>
  <c r="W10" i="7"/>
  <c r="Y10" i="7"/>
  <c r="Z10" i="7"/>
  <c r="V10" i="7"/>
  <c r="AA10" i="7"/>
  <c r="AA62" i="16"/>
  <c r="AB62" i="16" s="1"/>
  <c r="AD62" i="16" s="1"/>
  <c r="X62" i="16"/>
  <c r="Z62" i="16"/>
  <c r="Y62" i="16"/>
  <c r="V62" i="16"/>
  <c r="W62" i="16"/>
  <c r="T62" i="16"/>
  <c r="AC57" i="9"/>
  <c r="AD57" i="9" s="1"/>
  <c r="AF57" i="9" s="1"/>
  <c r="AE57" i="9"/>
  <c r="X57" i="9"/>
  <c r="T57" i="9" s="1"/>
  <c r="X50" i="9"/>
  <c r="AB50" i="9"/>
  <c r="AC39" i="9"/>
  <c r="W39" i="9"/>
  <c r="S80" i="7"/>
  <c r="S37" i="7"/>
  <c r="S59" i="7"/>
  <c r="T58" i="7"/>
  <c r="T63" i="7"/>
  <c r="AE80" i="16"/>
  <c r="S47" i="16"/>
  <c r="AE79" i="16"/>
  <c r="S79" i="16" s="1"/>
  <c r="T59" i="9"/>
  <c r="AG42" i="15"/>
  <c r="U42" i="15" s="1"/>
  <c r="U53" i="15"/>
  <c r="T79" i="15"/>
  <c r="AD37" i="15"/>
  <c r="AF37" i="15" s="1"/>
  <c r="AG37" i="15" s="1"/>
  <c r="W40" i="9"/>
  <c r="AB40" i="9"/>
  <c r="Z36" i="9"/>
  <c r="Y36" i="9"/>
  <c r="Y28" i="9"/>
  <c r="Z28" i="9"/>
  <c r="Z20" i="9"/>
  <c r="AB20" i="9"/>
  <c r="W20" i="9"/>
  <c r="V8" i="9"/>
  <c r="AB8" i="9"/>
  <c r="AA104" i="7"/>
  <c r="AB104" i="7"/>
  <c r="AC104" i="7" s="1"/>
  <c r="AE104" i="7" s="1"/>
  <c r="AF104" i="7" s="1"/>
  <c r="X104" i="7"/>
  <c r="U96" i="7"/>
  <c r="AB96" i="7"/>
  <c r="AC96" i="7" s="1"/>
  <c r="AE96" i="7" s="1"/>
  <c r="AF96" i="7" s="1"/>
  <c r="AC57" i="16"/>
  <c r="AE57" i="16" s="1"/>
  <c r="Z57" i="16"/>
  <c r="U57" i="16"/>
  <c r="V57" i="16"/>
  <c r="R57" i="16" s="1"/>
  <c r="AC35" i="9"/>
  <c r="AD35" i="9" s="1"/>
  <c r="AF35" i="9" s="1"/>
  <c r="AG35" i="9" s="1"/>
  <c r="U35" i="9" s="1"/>
  <c r="AA35" i="9"/>
  <c r="AE35" i="9"/>
  <c r="AC33" i="9"/>
  <c r="Z33" i="9"/>
  <c r="AE33" i="9"/>
  <c r="AB33" i="9"/>
  <c r="AC101" i="15"/>
  <c r="AD101" i="15" s="1"/>
  <c r="AF101" i="15" s="1"/>
  <c r="AG101" i="15" s="1"/>
  <c r="Y101" i="15"/>
  <c r="U101" i="15" s="1"/>
  <c r="AB32" i="16"/>
  <c r="AD32" i="16" s="1"/>
  <c r="AE32" i="16" s="1"/>
  <c r="AE21" i="16"/>
  <c r="S21" i="16" s="1"/>
  <c r="S83" i="7"/>
  <c r="W52" i="15"/>
  <c r="V76" i="15"/>
  <c r="T76" i="15" s="1"/>
  <c r="S68" i="16"/>
  <c r="W12" i="15"/>
  <c r="Y12" i="15"/>
  <c r="AG78" i="15"/>
  <c r="X57" i="16"/>
  <c r="R41" i="16"/>
  <c r="T9" i="16"/>
  <c r="AB86" i="15"/>
  <c r="X62" i="15"/>
  <c r="AA30" i="15"/>
  <c r="X10" i="7"/>
  <c r="AA91" i="7"/>
  <c r="AA42" i="7"/>
  <c r="AB92" i="16"/>
  <c r="AD92" i="16" s="1"/>
  <c r="AE92" i="16" s="1"/>
  <c r="S92" i="16" s="1"/>
  <c r="X87" i="16"/>
  <c r="S87" i="16" s="1"/>
  <c r="X90" i="9"/>
  <c r="T90" i="9" s="1"/>
  <c r="AD46" i="9"/>
  <c r="AF46" i="9" s="1"/>
  <c r="AD37" i="9"/>
  <c r="AF37" i="9" s="1"/>
  <c r="Y58" i="15"/>
  <c r="X55" i="16"/>
  <c r="S55" i="16" s="1"/>
  <c r="R47" i="16"/>
  <c r="R31" i="16"/>
  <c r="AA84" i="15"/>
  <c r="T36" i="15"/>
  <c r="X78" i="7"/>
  <c r="T78" i="7" s="1"/>
  <c r="Z81" i="16"/>
  <c r="Y54" i="16"/>
  <c r="R54" i="16" s="1"/>
  <c r="T34" i="16"/>
  <c r="R34" i="16" s="1"/>
  <c r="AB8" i="16"/>
  <c r="AD8" i="16" s="1"/>
  <c r="AE8" i="16" s="1"/>
  <c r="AD21" i="9"/>
  <c r="AF21" i="9" s="1"/>
  <c r="Z99" i="15"/>
  <c r="AD81" i="15"/>
  <c r="AF81" i="15" s="1"/>
  <c r="AG81" i="15" s="1"/>
  <c r="V80" i="15"/>
  <c r="W65" i="15"/>
  <c r="AC67" i="9"/>
  <c r="AD67" i="9" s="1"/>
  <c r="AF67" i="9" s="1"/>
  <c r="AG67" i="9" s="1"/>
  <c r="U67" i="9" s="1"/>
  <c r="AE38" i="16"/>
  <c r="S52" i="7"/>
  <c r="AE69" i="16"/>
  <c r="S69" i="16" s="1"/>
  <c r="Z71" i="16"/>
  <c r="X12" i="15"/>
  <c r="T12" i="15" s="1"/>
  <c r="AC17" i="7"/>
  <c r="AE17" i="7" s="1"/>
  <c r="AF17" i="7" s="1"/>
  <c r="T17" i="7" s="1"/>
  <c r="Z39" i="9"/>
  <c r="AC12" i="7"/>
  <c r="AE12" i="7" s="1"/>
  <c r="AF12" i="7" s="1"/>
  <c r="V101" i="16"/>
  <c r="R101" i="16" s="1"/>
  <c r="V68" i="16"/>
  <c r="AB61" i="16"/>
  <c r="AD61" i="16" s="1"/>
  <c r="AE61" i="16" s="1"/>
  <c r="S61" i="16" s="1"/>
  <c r="U54" i="16"/>
  <c r="AD102" i="9"/>
  <c r="AF102" i="9" s="1"/>
  <c r="AD85" i="15"/>
  <c r="AF85" i="15" s="1"/>
  <c r="AG85" i="15" s="1"/>
  <c r="U85" i="15" s="1"/>
  <c r="AD70" i="15"/>
  <c r="AF70" i="15" s="1"/>
  <c r="AG70" i="15" s="1"/>
  <c r="AB10" i="16"/>
  <c r="AD10" i="16" s="1"/>
  <c r="AE10" i="16" s="1"/>
  <c r="S38" i="16"/>
  <c r="Z76" i="15"/>
  <c r="Y36" i="15"/>
  <c r="AE78" i="16"/>
  <c r="S78" i="16" s="1"/>
  <c r="AC45" i="7"/>
  <c r="AE45" i="7" s="1"/>
  <c r="AF45" i="7" s="1"/>
  <c r="AB88" i="16"/>
  <c r="AD88" i="16" s="1"/>
  <c r="AE88" i="16" s="1"/>
  <c r="AG102" i="9"/>
  <c r="U81" i="15"/>
  <c r="W68" i="15"/>
  <c r="AG102" i="15"/>
  <c r="T29" i="16"/>
  <c r="W82" i="15"/>
  <c r="V32" i="7"/>
  <c r="U16" i="7"/>
  <c r="W8" i="7"/>
  <c r="U93" i="7"/>
  <c r="V57" i="7"/>
  <c r="Z36" i="16"/>
  <c r="T28" i="16"/>
  <c r="R28" i="16" s="1"/>
  <c r="AC105" i="15"/>
  <c r="AD105" i="15" s="1"/>
  <c r="AF105" i="15" s="1"/>
  <c r="AD87" i="15"/>
  <c r="AF87" i="15" s="1"/>
  <c r="AD21" i="15"/>
  <c r="AF21" i="15" s="1"/>
  <c r="AG21" i="15" s="1"/>
  <c r="U21" i="15" s="1"/>
  <c r="AB96" i="16"/>
  <c r="AD96" i="16" s="1"/>
  <c r="AE96" i="16" s="1"/>
  <c r="AB76" i="15"/>
  <c r="Z31" i="16"/>
  <c r="S31" i="16" s="1"/>
  <c r="W15" i="16"/>
  <c r="S15" i="16" s="1"/>
  <c r="W36" i="15"/>
  <c r="Z12" i="15"/>
  <c r="AE25" i="16"/>
  <c r="AG22" i="15"/>
  <c r="AG24" i="15"/>
  <c r="V41" i="15"/>
  <c r="T41" i="15" s="1"/>
  <c r="W18" i="9"/>
  <c r="Z14" i="9"/>
  <c r="U92" i="7"/>
  <c r="S92" i="7" s="1"/>
  <c r="AA48" i="7"/>
  <c r="T48" i="7" s="1"/>
  <c r="U70" i="16"/>
  <c r="S70" i="16" s="1"/>
  <c r="Z48" i="16"/>
  <c r="Y43" i="16"/>
  <c r="R43" i="16" s="1"/>
  <c r="Y33" i="16"/>
  <c r="R33" i="16" s="1"/>
  <c r="X98" i="9"/>
  <c r="T98" i="9" s="1"/>
  <c r="X74" i="9"/>
  <c r="T74" i="9" s="1"/>
  <c r="AD54" i="9"/>
  <c r="AF54" i="9" s="1"/>
  <c r="AG54" i="9" s="1"/>
  <c r="W34" i="9"/>
  <c r="AD32" i="9"/>
  <c r="AF32" i="9" s="1"/>
  <c r="R68" i="16"/>
  <c r="X52" i="15"/>
  <c r="T52" i="15" s="1"/>
  <c r="T89" i="15"/>
  <c r="W76" i="15"/>
  <c r="R91" i="16"/>
  <c r="Z11" i="16"/>
  <c r="AA88" i="15"/>
  <c r="AB56" i="15"/>
  <c r="AB32" i="15"/>
  <c r="U39" i="7"/>
  <c r="U88" i="7"/>
  <c r="AA76" i="7"/>
  <c r="S56" i="7"/>
  <c r="U79" i="7"/>
  <c r="S79" i="7" s="1"/>
  <c r="Y45" i="7"/>
  <c r="Z85" i="16"/>
  <c r="S85" i="16" s="1"/>
  <c r="Z58" i="16"/>
  <c r="Y38" i="16"/>
  <c r="R38" i="16" s="1"/>
  <c r="T30" i="16"/>
  <c r="R30" i="16" s="1"/>
  <c r="Y20" i="9"/>
  <c r="AD7" i="9"/>
  <c r="AF7" i="9" s="1"/>
  <c r="AA104" i="9"/>
  <c r="V96" i="9"/>
  <c r="Z92" i="9"/>
  <c r="V88" i="9"/>
  <c r="Y84" i="9"/>
  <c r="AA76" i="9"/>
  <c r="AA72" i="9"/>
  <c r="Z68" i="9"/>
  <c r="V64" i="9"/>
  <c r="AA60" i="9"/>
  <c r="AB56" i="9"/>
  <c r="AB52" i="9"/>
  <c r="AD96" i="15"/>
  <c r="AF96" i="15" s="1"/>
  <c r="AG96" i="15" s="1"/>
  <c r="AD77" i="15"/>
  <c r="AF77" i="15" s="1"/>
  <c r="AG77" i="15" s="1"/>
  <c r="U77" i="15" s="1"/>
  <c r="AD73" i="15"/>
  <c r="AF73" i="15" s="1"/>
  <c r="AD36" i="15"/>
  <c r="AF36" i="15" s="1"/>
  <c r="AG36" i="15" s="1"/>
  <c r="U36" i="15" s="1"/>
  <c r="AD104" i="15"/>
  <c r="AF104" i="15" s="1"/>
  <c r="AG104" i="15" s="1"/>
  <c r="AA5" i="15"/>
  <c r="T5" i="15" s="1"/>
  <c r="Z23" i="15"/>
  <c r="Y56" i="15"/>
  <c r="AA11" i="15"/>
  <c r="Z58" i="15"/>
  <c r="AB72" i="15"/>
  <c r="AA80" i="15"/>
  <c r="V64" i="15"/>
  <c r="V86" i="15"/>
  <c r="V78" i="15"/>
  <c r="T78" i="15" s="1"/>
  <c r="V22" i="15"/>
  <c r="AB46" i="15"/>
  <c r="Z88" i="15"/>
  <c r="V40" i="15"/>
  <c r="W62" i="15"/>
  <c r="AB78" i="15"/>
  <c r="Y32" i="15"/>
  <c r="X87" i="15"/>
  <c r="W86" i="15"/>
  <c r="AB104" i="15"/>
  <c r="AA92" i="15"/>
  <c r="W46" i="15"/>
  <c r="V18" i="15"/>
  <c r="Z38" i="15"/>
  <c r="V56" i="15"/>
  <c r="AA22" i="15"/>
  <c r="AA23" i="15"/>
  <c r="W56" i="15"/>
  <c r="Y102" i="15"/>
  <c r="AD38" i="15"/>
  <c r="AF38" i="15" s="1"/>
  <c r="AG38" i="15" s="1"/>
  <c r="AC31" i="15"/>
  <c r="AD31" i="15" s="1"/>
  <c r="AF31" i="15" s="1"/>
  <c r="AG31" i="15" s="1"/>
  <c r="U31" i="15" s="1"/>
  <c r="X56" i="15"/>
  <c r="Y40" i="15"/>
  <c r="AC65" i="15"/>
  <c r="AD65" i="15" s="1"/>
  <c r="AF65" i="15" s="1"/>
  <c r="AB70" i="15"/>
  <c r="X65" i="15"/>
  <c r="V24" i="15"/>
  <c r="AC33" i="15"/>
  <c r="AD33" i="15" s="1"/>
  <c r="AF33" i="15" s="1"/>
  <c r="AG33" i="15" s="1"/>
  <c r="U33" i="15" s="1"/>
  <c r="AC7" i="15"/>
  <c r="AD7" i="15" s="1"/>
  <c r="AF7" i="15" s="1"/>
  <c r="AG7" i="15" s="1"/>
  <c r="U7" i="15" s="1"/>
  <c r="AD103" i="15"/>
  <c r="AF103" i="15" s="1"/>
  <c r="AG103" i="15" s="1"/>
  <c r="U103" i="15" s="1"/>
  <c r="AC66" i="15"/>
  <c r="AC49" i="15"/>
  <c r="AD49" i="15" s="1"/>
  <c r="AF49" i="15" s="1"/>
  <c r="AG49" i="15" s="1"/>
  <c r="U49" i="15" s="1"/>
  <c r="X58" i="15"/>
  <c r="V88" i="15"/>
  <c r="Y24" i="15"/>
  <c r="AB65" i="15"/>
  <c r="AA24" i="15"/>
  <c r="AB23" i="15"/>
  <c r="Y11" i="15"/>
  <c r="V58" i="15"/>
  <c r="Z72" i="15"/>
  <c r="S81" i="15"/>
  <c r="V62" i="15"/>
  <c r="T62" i="15" s="1"/>
  <c r="AA64" i="15"/>
  <c r="AB102" i="15"/>
  <c r="W78" i="15"/>
  <c r="V102" i="15"/>
  <c r="T102" i="15" s="1"/>
  <c r="Y78" i="15"/>
  <c r="Z104" i="15"/>
  <c r="V30" i="15"/>
  <c r="AB8" i="15"/>
  <c r="W54" i="15"/>
  <c r="AB40" i="15"/>
  <c r="V92" i="15"/>
  <c r="W32" i="15"/>
  <c r="Y87" i="15"/>
  <c r="V87" i="15"/>
  <c r="X86" i="15"/>
  <c r="X46" i="15"/>
  <c r="T46" i="15" s="1"/>
  <c r="Y92" i="15"/>
  <c r="AB30" i="15"/>
  <c r="W24" i="15"/>
  <c r="AB22" i="15"/>
  <c r="AD6" i="15"/>
  <c r="AF6" i="15" s="1"/>
  <c r="AG6" i="15" s="1"/>
  <c r="U6" i="15" s="1"/>
  <c r="X54" i="15"/>
  <c r="X81" i="15"/>
  <c r="AC12" i="15"/>
  <c r="AD12" i="15" s="1"/>
  <c r="AF12" i="15" s="1"/>
  <c r="AG12" i="15" s="1"/>
  <c r="AC44" i="15"/>
  <c r="AD44" i="15" s="1"/>
  <c r="AF44" i="15" s="1"/>
  <c r="AG44" i="15" s="1"/>
  <c r="U44" i="15" s="1"/>
  <c r="AC10" i="15"/>
  <c r="AD10" i="15" s="1"/>
  <c r="AF10" i="15" s="1"/>
  <c r="AG10" i="15" s="1"/>
  <c r="U10" i="15" s="1"/>
  <c r="Z18" i="15"/>
  <c r="Z15" i="15"/>
  <c r="U15" i="15" s="1"/>
  <c r="T47" i="15"/>
  <c r="X11" i="15"/>
  <c r="AB58" i="15"/>
  <c r="AB62" i="15"/>
  <c r="Z64" i="15"/>
  <c r="V104" i="15"/>
  <c r="X104" i="15"/>
  <c r="W22" i="15"/>
  <c r="U22" i="15" s="1"/>
  <c r="X22" i="15"/>
  <c r="AD8" i="15"/>
  <c r="AF8" i="15" s="1"/>
  <c r="AG8" i="15" s="1"/>
  <c r="V54" i="15"/>
  <c r="T81" i="15"/>
  <c r="AA40" i="15"/>
  <c r="Y64" i="15"/>
  <c r="X92" i="15"/>
  <c r="V72" i="15"/>
  <c r="V32" i="15"/>
  <c r="AE87" i="15"/>
  <c r="AG87" i="15" s="1"/>
  <c r="AA65" i="15"/>
  <c r="T17" i="15"/>
  <c r="AA54" i="15"/>
  <c r="W92" i="15"/>
  <c r="AA38" i="15"/>
  <c r="T38" i="15" s="1"/>
  <c r="AA6" i="15"/>
  <c r="Y99" i="15"/>
  <c r="Y23" i="15"/>
  <c r="V46" i="15"/>
  <c r="AC14" i="15"/>
  <c r="AD14" i="15" s="1"/>
  <c r="AF14" i="15" s="1"/>
  <c r="AG14" i="15" s="1"/>
  <c r="AD62" i="15"/>
  <c r="AF62" i="15" s="1"/>
  <c r="AG62" i="15" s="1"/>
  <c r="Y38" i="15"/>
  <c r="Z92" i="15"/>
  <c r="AC59" i="15"/>
  <c r="AC76" i="15"/>
  <c r="AD76" i="15" s="1"/>
  <c r="AF76" i="15" s="1"/>
  <c r="AG76" i="15" s="1"/>
  <c r="U76" i="15" s="1"/>
  <c r="AB99" i="15"/>
  <c r="AC80" i="15"/>
  <c r="AD80" i="15" s="1"/>
  <c r="AF80" i="15" s="1"/>
  <c r="AC89" i="15"/>
  <c r="AD89" i="15" s="1"/>
  <c r="AF89" i="15" s="1"/>
  <c r="AG89" i="15" s="1"/>
  <c r="U89" i="15" s="1"/>
  <c r="AG34" i="15"/>
  <c r="U34" i="15" s="1"/>
  <c r="T84" i="15"/>
  <c r="AB18" i="15"/>
  <c r="X15" i="15"/>
  <c r="T15" i="15" s="1"/>
  <c r="Z62" i="15"/>
  <c r="Z86" i="15"/>
  <c r="V70" i="15"/>
  <c r="T70" i="15" s="1"/>
  <c r="AA86" i="15"/>
  <c r="Y104" i="15"/>
  <c r="X30" i="15"/>
  <c r="Z30" i="15"/>
  <c r="Z102" i="15"/>
  <c r="AA99" i="15"/>
  <c r="W64" i="15"/>
  <c r="X18" i="15"/>
  <c r="W58" i="15"/>
  <c r="T39" i="15"/>
  <c r="Y72" i="15"/>
  <c r="Y80" i="15"/>
  <c r="Y88" i="15"/>
  <c r="X99" i="15"/>
  <c r="Y30" i="15"/>
  <c r="Y6" i="15"/>
  <c r="AC100" i="15"/>
  <c r="AD100" i="15" s="1"/>
  <c r="AF100" i="15" s="1"/>
  <c r="AG100" i="15" s="1"/>
  <c r="U100" i="15" s="1"/>
  <c r="AC93" i="15"/>
  <c r="AD93" i="15" s="1"/>
  <c r="AF93" i="15" s="1"/>
  <c r="AG93" i="15" s="1"/>
  <c r="U93" i="15" s="1"/>
  <c r="AD18" i="15"/>
  <c r="AF18" i="15" s="1"/>
  <c r="AG18" i="15" s="1"/>
  <c r="AC99" i="15"/>
  <c r="AD99" i="15" s="1"/>
  <c r="AF99" i="15" s="1"/>
  <c r="AG99" i="15" s="1"/>
  <c r="AC88" i="15"/>
  <c r="AD88" i="15" s="1"/>
  <c r="AF88" i="15" s="1"/>
  <c r="AG88" i="15" s="1"/>
  <c r="AC72" i="15"/>
  <c r="AD72" i="15" s="1"/>
  <c r="AF72" i="15" s="1"/>
  <c r="AG72" i="15" s="1"/>
  <c r="AC55" i="15"/>
  <c r="AD55" i="15" s="1"/>
  <c r="AF55" i="15" s="1"/>
  <c r="AG55" i="15" s="1"/>
  <c r="U55" i="15" s="1"/>
  <c r="AD17" i="15"/>
  <c r="AF17" i="15" s="1"/>
  <c r="AG17" i="15" s="1"/>
  <c r="U17" i="15" s="1"/>
  <c r="Y65" i="15"/>
  <c r="AA72" i="15"/>
  <c r="X32" i="15"/>
  <c r="W87" i="15"/>
  <c r="Z65" i="15"/>
  <c r="Z8" i="15"/>
  <c r="X23" i="15"/>
  <c r="AC39" i="15"/>
  <c r="AD39" i="15" s="1"/>
  <c r="AF39" i="15" s="1"/>
  <c r="AG39" i="15" s="1"/>
  <c r="U39" i="15" s="1"/>
  <c r="Y18" i="15"/>
  <c r="U18" i="15" s="1"/>
  <c r="U37" i="15"/>
  <c r="W11" i="15"/>
  <c r="Y96" i="15"/>
  <c r="Y62" i="15"/>
  <c r="Z96" i="15"/>
  <c r="AA96" i="15"/>
  <c r="Y86" i="15"/>
  <c r="Z70" i="15"/>
  <c r="U70" i="15" s="1"/>
  <c r="AB88" i="15"/>
  <c r="X96" i="15"/>
  <c r="AG54" i="15"/>
  <c r="X40" i="15"/>
  <c r="AB96" i="15"/>
  <c r="AA32" i="15"/>
  <c r="V65" i="15"/>
  <c r="AE65" i="15"/>
  <c r="AG41" i="15"/>
  <c r="W8" i="15"/>
  <c r="AE58" i="15"/>
  <c r="AB6" i="15"/>
  <c r="X24" i="15"/>
  <c r="W80" i="15"/>
  <c r="AA8" i="15"/>
  <c r="T8" i="15" s="1"/>
  <c r="AC58" i="15"/>
  <c r="AD58" i="15" s="1"/>
  <c r="AF58" i="15" s="1"/>
  <c r="AC43" i="15"/>
  <c r="AD43" i="15" s="1"/>
  <c r="AF43" i="15" s="1"/>
  <c r="AG43" i="15" s="1"/>
  <c r="W104" i="15"/>
  <c r="Z80" i="15"/>
  <c r="Z24" i="15"/>
  <c r="AE11" i="15"/>
  <c r="AG11" i="15" s="1"/>
  <c r="V11" i="15"/>
  <c r="X80" i="15"/>
  <c r="T80" i="15" s="1"/>
  <c r="V99" i="15"/>
  <c r="W99" i="15"/>
  <c r="W88" i="15"/>
  <c r="X88" i="15"/>
  <c r="T100" i="15"/>
  <c r="W72" i="15"/>
  <c r="AB87" i="15"/>
  <c r="AE80" i="15"/>
  <c r="AA18" i="15"/>
  <c r="AD40" i="15"/>
  <c r="AF40" i="15" s="1"/>
  <c r="AG40" i="15" s="1"/>
  <c r="U40" i="15" s="1"/>
  <c r="AD50" i="15"/>
  <c r="AF50" i="15" s="1"/>
  <c r="AG50" i="15" s="1"/>
  <c r="U50" i="15" s="1"/>
  <c r="W105" i="15"/>
  <c r="AB105" i="15"/>
  <c r="X105" i="15"/>
  <c r="Y105" i="15"/>
  <c r="AA105" i="15"/>
  <c r="Z105" i="15"/>
  <c r="AE105" i="15"/>
  <c r="AG105" i="15" s="1"/>
  <c r="X83" i="15"/>
  <c r="V83" i="15"/>
  <c r="AE83" i="15"/>
  <c r="AB83" i="15"/>
  <c r="Y83" i="15"/>
  <c r="AC83" i="15"/>
  <c r="AD83" i="15" s="1"/>
  <c r="AF83" i="15" s="1"/>
  <c r="Z83" i="15"/>
  <c r="AA83" i="15"/>
  <c r="AC79" i="15"/>
  <c r="AD79" i="15" s="1"/>
  <c r="AF79" i="15" s="1"/>
  <c r="AG79" i="15" s="1"/>
  <c r="U79" i="15" s="1"/>
  <c r="AG73" i="15"/>
  <c r="U73" i="15" s="1"/>
  <c r="V68" i="15"/>
  <c r="Z68" i="15"/>
  <c r="AE68" i="15"/>
  <c r="X68" i="15"/>
  <c r="Y68" i="15"/>
  <c r="AA68" i="15"/>
  <c r="AC68" i="15"/>
  <c r="AD68" i="15" s="1"/>
  <c r="AF68" i="15" s="1"/>
  <c r="AD66" i="15"/>
  <c r="AF66" i="15" s="1"/>
  <c r="AG66" i="15" s="1"/>
  <c r="S29" i="15"/>
  <c r="AC29" i="15"/>
  <c r="AD29" i="15" s="1"/>
  <c r="AF29" i="15" s="1"/>
  <c r="AG29" i="15" s="1"/>
  <c r="U29" i="15" s="1"/>
  <c r="W14" i="15"/>
  <c r="AA14" i="15"/>
  <c r="V14" i="15"/>
  <c r="X14" i="15"/>
  <c r="Z14" i="15"/>
  <c r="Y14" i="15"/>
  <c r="AB14" i="15"/>
  <c r="S84" i="15"/>
  <c r="AC84" i="15"/>
  <c r="AD84" i="15" s="1"/>
  <c r="AF84" i="15" s="1"/>
  <c r="AG84" i="15" s="1"/>
  <c r="U84" i="15" s="1"/>
  <c r="S69" i="15"/>
  <c r="AC69" i="15"/>
  <c r="AD69" i="15" s="1"/>
  <c r="AF69" i="15" s="1"/>
  <c r="AG69" i="15" s="1"/>
  <c r="U69" i="15" s="1"/>
  <c r="AC26" i="15"/>
  <c r="AD26" i="15" s="1"/>
  <c r="AF26" i="15" s="1"/>
  <c r="AG26" i="15" s="1"/>
  <c r="U26" i="15" s="1"/>
  <c r="AC64" i="15"/>
  <c r="AD64" i="15" s="1"/>
  <c r="AF64" i="15" s="1"/>
  <c r="AG64" i="15" s="1"/>
  <c r="Y28" i="15"/>
  <c r="AB28" i="15"/>
  <c r="V28" i="15"/>
  <c r="W28" i="15"/>
  <c r="Z28" i="15"/>
  <c r="X28" i="15"/>
  <c r="AC91" i="15"/>
  <c r="AD91" i="15" s="1"/>
  <c r="AF91" i="15" s="1"/>
  <c r="AE91" i="15"/>
  <c r="X91" i="15"/>
  <c r="Y91" i="15"/>
  <c r="AB91" i="15"/>
  <c r="Z91" i="15"/>
  <c r="V91" i="15"/>
  <c r="S32" i="15"/>
  <c r="AC32" i="15"/>
  <c r="AD32" i="15" s="1"/>
  <c r="AF32" i="15" s="1"/>
  <c r="AG32" i="15" s="1"/>
  <c r="U32" i="15" s="1"/>
  <c r="AA97" i="15"/>
  <c r="Y97" i="15"/>
  <c r="AB97" i="15"/>
  <c r="V97" i="15"/>
  <c r="AC97" i="15"/>
  <c r="AD97" i="15" s="1"/>
  <c r="AF97" i="15" s="1"/>
  <c r="W97" i="15"/>
  <c r="X97" i="15"/>
  <c r="Z97" i="15"/>
  <c r="AE97" i="15"/>
  <c r="Z63" i="15"/>
  <c r="Y63" i="15"/>
  <c r="AC63" i="15"/>
  <c r="AD63" i="15" s="1"/>
  <c r="AF63" i="15" s="1"/>
  <c r="AB63" i="15"/>
  <c r="W63" i="15"/>
  <c r="AE63" i="15"/>
  <c r="X63" i="15"/>
  <c r="AA63" i="15"/>
  <c r="S98" i="15"/>
  <c r="AC98" i="15"/>
  <c r="AD98" i="15" s="1"/>
  <c r="AF98" i="15" s="1"/>
  <c r="AG98" i="15" s="1"/>
  <c r="W59" i="15"/>
  <c r="AB59" i="15"/>
  <c r="AA59" i="15"/>
  <c r="AD59" i="15"/>
  <c r="AF59" i="15" s="1"/>
  <c r="AG59" i="15" s="1"/>
  <c r="X59" i="15"/>
  <c r="V59" i="15"/>
  <c r="Y59" i="15"/>
  <c r="AB51" i="15"/>
  <c r="AA51" i="15"/>
  <c r="Y51" i="15"/>
  <c r="AD51" i="15"/>
  <c r="AF51" i="15" s="1"/>
  <c r="AG51" i="15" s="1"/>
  <c r="Z51" i="15"/>
  <c r="V51" i="15"/>
  <c r="W51" i="15"/>
  <c r="AB43" i="15"/>
  <c r="W43" i="15"/>
  <c r="AA43" i="15"/>
  <c r="X43" i="15"/>
  <c r="Y43" i="15"/>
  <c r="Z43" i="15"/>
  <c r="V43" i="15"/>
  <c r="X35" i="15"/>
  <c r="W35" i="15"/>
  <c r="Y35" i="15"/>
  <c r="Z35" i="15"/>
  <c r="V35" i="15"/>
  <c r="AA35" i="15"/>
  <c r="AB35" i="15"/>
  <c r="AD35" i="15"/>
  <c r="AF35" i="15" s="1"/>
  <c r="AG35" i="15" s="1"/>
  <c r="S92" i="15"/>
  <c r="AC92" i="15"/>
  <c r="AD92" i="15" s="1"/>
  <c r="AF92" i="15" s="1"/>
  <c r="AG92" i="15" s="1"/>
  <c r="AE57" i="15"/>
  <c r="X57" i="15"/>
  <c r="AC57" i="15"/>
  <c r="AD57" i="15" s="1"/>
  <c r="AF57" i="15" s="1"/>
  <c r="V57" i="15"/>
  <c r="AB57" i="15"/>
  <c r="W57" i="15"/>
  <c r="Y57" i="15"/>
  <c r="Z57" i="15"/>
  <c r="AA57" i="15"/>
  <c r="S23" i="15"/>
  <c r="AC23" i="15"/>
  <c r="AD23" i="15" s="1"/>
  <c r="AF23" i="15" s="1"/>
  <c r="AG23" i="15" s="1"/>
  <c r="AC48" i="15"/>
  <c r="AD48" i="15" s="1"/>
  <c r="AF48" i="15" s="1"/>
  <c r="AG48" i="15" s="1"/>
  <c r="V48" i="15"/>
  <c r="Z48" i="15"/>
  <c r="W48" i="15"/>
  <c r="X48" i="15"/>
  <c r="Y48" i="15"/>
  <c r="AA48" i="15"/>
  <c r="AB48" i="15"/>
  <c r="T33" i="15"/>
  <c r="AC9" i="15"/>
  <c r="AD9" i="15" s="1"/>
  <c r="AF9" i="15" s="1"/>
  <c r="Y9" i="15"/>
  <c r="V9" i="15"/>
  <c r="AA9" i="15"/>
  <c r="AE9" i="15"/>
  <c r="AB9" i="15"/>
  <c r="X9" i="15"/>
  <c r="V63" i="15"/>
  <c r="AB98" i="15"/>
  <c r="Y98" i="15"/>
  <c r="V98" i="15"/>
  <c r="Z98" i="15"/>
  <c r="W98" i="15"/>
  <c r="AA98" i="15"/>
  <c r="X98" i="15"/>
  <c r="V90" i="15"/>
  <c r="X90" i="15"/>
  <c r="W90" i="15"/>
  <c r="Z90" i="15"/>
  <c r="AD90" i="15"/>
  <c r="AF90" i="15" s="1"/>
  <c r="AG90" i="15" s="1"/>
  <c r="AB90" i="15"/>
  <c r="Y90" i="15"/>
  <c r="AA82" i="15"/>
  <c r="Y82" i="15"/>
  <c r="Z82" i="15"/>
  <c r="AB82" i="15"/>
  <c r="X82" i="15"/>
  <c r="AD82" i="15"/>
  <c r="AF82" i="15" s="1"/>
  <c r="AG82" i="15" s="1"/>
  <c r="X66" i="15"/>
  <c r="AA66" i="15"/>
  <c r="V66" i="15"/>
  <c r="Y66" i="15"/>
  <c r="Z66" i="15"/>
  <c r="AA94" i="15"/>
  <c r="Z94" i="15"/>
  <c r="AB94" i="15"/>
  <c r="Y94" i="15"/>
  <c r="X94" i="15"/>
  <c r="W94" i="15"/>
  <c r="AC94" i="15"/>
  <c r="AD94" i="15" s="1"/>
  <c r="AF94" i="15" s="1"/>
  <c r="AE94" i="15"/>
  <c r="V94" i="15"/>
  <c r="AC74" i="15"/>
  <c r="AD74" i="15" s="1"/>
  <c r="AF74" i="15" s="1"/>
  <c r="W74" i="15"/>
  <c r="AB74" i="15"/>
  <c r="AA74" i="15"/>
  <c r="Y74" i="15"/>
  <c r="V74" i="15"/>
  <c r="Z74" i="15"/>
  <c r="AE74" i="15"/>
  <c r="AC60" i="15"/>
  <c r="AD60" i="15" s="1"/>
  <c r="AF60" i="15" s="1"/>
  <c r="AB60" i="15"/>
  <c r="Y60" i="15"/>
  <c r="X60" i="15"/>
  <c r="Z60" i="15"/>
  <c r="AE60" i="15"/>
  <c r="AG60" i="15" s="1"/>
  <c r="AA60" i="15"/>
  <c r="AC45" i="15"/>
  <c r="AD45" i="15" s="1"/>
  <c r="AF45" i="15" s="1"/>
  <c r="AE45" i="15"/>
  <c r="AB45" i="15"/>
  <c r="X45" i="15"/>
  <c r="V45" i="15"/>
  <c r="W45" i="15"/>
  <c r="Y45" i="15"/>
  <c r="Z45" i="15"/>
  <c r="S95" i="15"/>
  <c r="AC95" i="15"/>
  <c r="AD95" i="15" s="1"/>
  <c r="AF95" i="15" s="1"/>
  <c r="AG95" i="15" s="1"/>
  <c r="S46" i="15"/>
  <c r="AC46" i="15"/>
  <c r="AD46" i="15" s="1"/>
  <c r="AF46" i="15" s="1"/>
  <c r="AG46" i="15" s="1"/>
  <c r="AC52" i="15"/>
  <c r="AD52" i="15" s="1"/>
  <c r="AF52" i="15" s="1"/>
  <c r="AG52" i="15" s="1"/>
  <c r="U52" i="15" s="1"/>
  <c r="AC13" i="15"/>
  <c r="AD13" i="15" s="1"/>
  <c r="AF13" i="15" s="1"/>
  <c r="AG13" i="15" s="1"/>
  <c r="U13" i="15" s="1"/>
  <c r="AA87" i="9"/>
  <c r="AA55" i="9"/>
  <c r="AA46" i="9"/>
  <c r="Y48" i="9"/>
  <c r="AE5" i="9"/>
  <c r="W5" i="9"/>
  <c r="AB7" i="9"/>
  <c r="AA32" i="9"/>
  <c r="AB42" i="9"/>
  <c r="AB64" i="9"/>
  <c r="AB87" i="9"/>
  <c r="Z56" i="9"/>
  <c r="AB92" i="9"/>
  <c r="AB100" i="9"/>
  <c r="AB89" i="9"/>
  <c r="V84" i="9"/>
  <c r="AB84" i="9"/>
  <c r="V60" i="9"/>
  <c r="AE87" i="9"/>
  <c r="AG87" i="9" s="1"/>
  <c r="Y64" i="9"/>
  <c r="V70" i="9"/>
  <c r="Z100" i="9"/>
  <c r="V38" i="9"/>
  <c r="Y44" i="9"/>
  <c r="V92" i="9"/>
  <c r="W7" i="9"/>
  <c r="W21" i="9"/>
  <c r="Z70" i="9"/>
  <c r="W96" i="9"/>
  <c r="Y46" i="9"/>
  <c r="AE100" i="9"/>
  <c r="AG100" i="9" s="1"/>
  <c r="W100" i="9"/>
  <c r="AB80" i="9"/>
  <c r="Y34" i="9"/>
  <c r="AA38" i="9"/>
  <c r="V44" i="9"/>
  <c r="AB14" i="9"/>
  <c r="AA44" i="9"/>
  <c r="Z18" i="9"/>
  <c r="W92" i="9"/>
  <c r="AG69" i="9"/>
  <c r="U69" i="9" s="1"/>
  <c r="T67" i="9"/>
  <c r="AD52" i="9"/>
  <c r="AF52" i="9" s="1"/>
  <c r="AG52" i="9" s="1"/>
  <c r="X43" i="9"/>
  <c r="T43" i="9" s="1"/>
  <c r="Y41" i="9"/>
  <c r="AD36" i="9"/>
  <c r="AF36" i="9" s="1"/>
  <c r="AG36" i="9" s="1"/>
  <c r="U36" i="9" s="1"/>
  <c r="AD31" i="9"/>
  <c r="AF31" i="9" s="1"/>
  <c r="AG31" i="9" s="1"/>
  <c r="U31" i="9" s="1"/>
  <c r="W29" i="9"/>
  <c r="X27" i="9"/>
  <c r="T27" i="9" s="1"/>
  <c r="AB25" i="9"/>
  <c r="X18" i="9"/>
  <c r="AD14" i="9"/>
  <c r="AF14" i="9" s="1"/>
  <c r="AG14" i="9" s="1"/>
  <c r="V5" i="9"/>
  <c r="U62" i="9"/>
  <c r="Z32" i="9"/>
  <c r="U32" i="9" s="1"/>
  <c r="Y10" i="9"/>
  <c r="AA42" i="9"/>
  <c r="V34" i="9"/>
  <c r="AA64" i="9"/>
  <c r="Y88" i="9"/>
  <c r="Y56" i="9"/>
  <c r="AA92" i="9"/>
  <c r="AA100" i="9"/>
  <c r="U97" i="9"/>
  <c r="Z93" i="9"/>
  <c r="AA84" i="9"/>
  <c r="Y87" i="9"/>
  <c r="Z80" i="9"/>
  <c r="AB22" i="9"/>
  <c r="W82" i="9"/>
  <c r="Z44" i="9"/>
  <c r="AA93" i="9"/>
  <c r="AA7" i="9"/>
  <c r="AA70" i="9"/>
  <c r="Y21" i="9"/>
  <c r="W55" i="9"/>
  <c r="W56" i="9"/>
  <c r="W80" i="9"/>
  <c r="AA85" i="9"/>
  <c r="Z60" i="9"/>
  <c r="AE44" i="9"/>
  <c r="AG44" i="9" s="1"/>
  <c r="AD104" i="9"/>
  <c r="AF104" i="9" s="1"/>
  <c r="AG104" i="9" s="1"/>
  <c r="AG97" i="9"/>
  <c r="AD92" i="9"/>
  <c r="AF92" i="9" s="1"/>
  <c r="AG92" i="9" s="1"/>
  <c r="AE82" i="9"/>
  <c r="AG79" i="9"/>
  <c r="U79" i="9" s="1"/>
  <c r="AD72" i="9"/>
  <c r="AF72" i="9" s="1"/>
  <c r="AG72" i="9" s="1"/>
  <c r="AG65" i="9"/>
  <c r="U65" i="9" s="1"/>
  <c r="AD60" i="9"/>
  <c r="AF60" i="9" s="1"/>
  <c r="AG60" i="9" s="1"/>
  <c r="AG57" i="9"/>
  <c r="U57" i="9" s="1"/>
  <c r="AD39" i="9"/>
  <c r="AF39" i="9" s="1"/>
  <c r="AG39" i="9" s="1"/>
  <c r="AD23" i="9"/>
  <c r="AF23" i="9" s="1"/>
  <c r="AG23" i="9" s="1"/>
  <c r="U23" i="9" s="1"/>
  <c r="AD12" i="9"/>
  <c r="AF12" i="9" s="1"/>
  <c r="AG12" i="9" s="1"/>
  <c r="U12" i="9" s="1"/>
  <c r="AD9" i="9"/>
  <c r="AF9" i="9" s="1"/>
  <c r="AG9" i="9" s="1"/>
  <c r="AC91" i="9"/>
  <c r="AD91" i="9" s="1"/>
  <c r="AF91" i="9" s="1"/>
  <c r="AG91" i="9" s="1"/>
  <c r="X65" i="9"/>
  <c r="T65" i="9" s="1"/>
  <c r="V21" i="9"/>
  <c r="X34" i="9"/>
  <c r="X10" i="9"/>
  <c r="AC5" i="9"/>
  <c r="AD5" i="9" s="1"/>
  <c r="AF5" i="9" s="1"/>
  <c r="AA37" i="9"/>
  <c r="V58" i="9"/>
  <c r="AA48" i="9"/>
  <c r="AB18" i="9"/>
  <c r="AE55" i="9"/>
  <c r="AG55" i="9" s="1"/>
  <c r="Y104" i="9"/>
  <c r="Z55" i="9"/>
  <c r="Z85" i="9"/>
  <c r="V82" i="9"/>
  <c r="AB72" i="9"/>
  <c r="AB48" i="9"/>
  <c r="Z64" i="9"/>
  <c r="AE89" i="9"/>
  <c r="V87" i="9"/>
  <c r="Y7" i="9"/>
  <c r="Y30" i="9"/>
  <c r="W72" i="9"/>
  <c r="W87" i="9"/>
  <c r="AE85" i="9"/>
  <c r="W84" i="9"/>
  <c r="W64" i="9"/>
  <c r="Y42" i="9"/>
  <c r="Z104" i="9"/>
  <c r="W10" i="9"/>
  <c r="AA88" i="9"/>
  <c r="V22" i="9"/>
  <c r="AA14" i="9"/>
  <c r="Z7" i="9"/>
  <c r="AB38" i="9"/>
  <c r="AC105" i="9"/>
  <c r="AD105" i="9" s="1"/>
  <c r="AF105" i="9" s="1"/>
  <c r="AG105" i="9" s="1"/>
  <c r="U105" i="9" s="1"/>
  <c r="AE90" i="9"/>
  <c r="AC73" i="9"/>
  <c r="AD73" i="9" s="1"/>
  <c r="AF73" i="9" s="1"/>
  <c r="AG73" i="9" s="1"/>
  <c r="U73" i="9" s="1"/>
  <c r="AC68" i="9"/>
  <c r="AD68" i="9" s="1"/>
  <c r="AF68" i="9" s="1"/>
  <c r="AG68" i="9" s="1"/>
  <c r="AC53" i="9"/>
  <c r="AD53" i="9" s="1"/>
  <c r="AF53" i="9" s="1"/>
  <c r="AG53" i="9" s="1"/>
  <c r="U53" i="9" s="1"/>
  <c r="X42" i="9"/>
  <c r="AC40" i="9"/>
  <c r="AD40" i="9" s="1"/>
  <c r="AF40" i="9" s="1"/>
  <c r="AG40" i="9" s="1"/>
  <c r="U40" i="9" s="1"/>
  <c r="AC30" i="9"/>
  <c r="AD30" i="9" s="1"/>
  <c r="AF30" i="9" s="1"/>
  <c r="AG30" i="9" s="1"/>
  <c r="AC28" i="9"/>
  <c r="AD28" i="9" s="1"/>
  <c r="AF28" i="9" s="1"/>
  <c r="X26" i="9"/>
  <c r="T26" i="9" s="1"/>
  <c r="AC24" i="9"/>
  <c r="AD24" i="9" s="1"/>
  <c r="AF24" i="9" s="1"/>
  <c r="AG24" i="9" s="1"/>
  <c r="U24" i="9" s="1"/>
  <c r="X19" i="9"/>
  <c r="T19" i="9" s="1"/>
  <c r="AC17" i="9"/>
  <c r="AD17" i="9" s="1"/>
  <c r="AF17" i="9" s="1"/>
  <c r="Z15" i="9"/>
  <c r="AC51" i="9"/>
  <c r="AD51" i="9" s="1"/>
  <c r="AF51" i="9" s="1"/>
  <c r="AG51" i="9" s="1"/>
  <c r="U51" i="9" s="1"/>
  <c r="Y70" i="9"/>
  <c r="V55" i="9"/>
  <c r="Y85" i="9"/>
  <c r="AA82" i="9"/>
  <c r="V52" i="9"/>
  <c r="AB58" i="9"/>
  <c r="W38" i="9"/>
  <c r="Z87" i="9"/>
  <c r="V37" i="9"/>
  <c r="W88" i="9"/>
  <c r="V42" i="9"/>
  <c r="AB104" i="9"/>
  <c r="AE46" i="9"/>
  <c r="AG46" i="9" s="1"/>
  <c r="W104" i="9"/>
  <c r="Y76" i="9"/>
  <c r="AE21" i="9"/>
  <c r="AG21" i="9" s="1"/>
  <c r="Y26" i="9"/>
  <c r="V30" i="9"/>
  <c r="V72" i="9"/>
  <c r="T41" i="9"/>
  <c r="AC103" i="9"/>
  <c r="AD103" i="9" s="1"/>
  <c r="AF103" i="9" s="1"/>
  <c r="AG103" i="9" s="1"/>
  <c r="U103" i="9" s="1"/>
  <c r="AA96" i="9"/>
  <c r="AC94" i="9"/>
  <c r="AD94" i="9" s="1"/>
  <c r="AF94" i="9" s="1"/>
  <c r="AG94" i="9" s="1"/>
  <c r="AC78" i="9"/>
  <c r="AD78" i="9" s="1"/>
  <c r="AF78" i="9" s="1"/>
  <c r="AG78" i="9" s="1"/>
  <c r="U78" i="9" s="1"/>
  <c r="AC76" i="9"/>
  <c r="AD76" i="9" s="1"/>
  <c r="AF76" i="9" s="1"/>
  <c r="AG76" i="9" s="1"/>
  <c r="AC63" i="9"/>
  <c r="AD63" i="9" s="1"/>
  <c r="AF63" i="9" s="1"/>
  <c r="AG63" i="9" s="1"/>
  <c r="U63" i="9" s="1"/>
  <c r="AC22" i="9"/>
  <c r="AD22" i="9" s="1"/>
  <c r="AF22" i="9" s="1"/>
  <c r="AG22" i="9" s="1"/>
  <c r="AC13" i="9"/>
  <c r="AD13" i="9" s="1"/>
  <c r="AF13" i="9" s="1"/>
  <c r="AG13" i="9" s="1"/>
  <c r="U13" i="9" s="1"/>
  <c r="V46" i="9"/>
  <c r="Y100" i="9"/>
  <c r="AG85" i="9"/>
  <c r="AB21" i="9"/>
  <c r="Z37" i="9"/>
  <c r="AB26" i="9"/>
  <c r="AB10" i="9"/>
  <c r="AA5" i="9"/>
  <c r="AA21" i="9"/>
  <c r="V48" i="9"/>
  <c r="AA10" i="9"/>
  <c r="Z89" i="9"/>
  <c r="Y89" i="9"/>
  <c r="AB76" i="9"/>
  <c r="Z82" i="9"/>
  <c r="Z76" i="9"/>
  <c r="Z84" i="9"/>
  <c r="AE80" i="9"/>
  <c r="AG80" i="9" s="1"/>
  <c r="AB88" i="9"/>
  <c r="Z46" i="9"/>
  <c r="AE32" i="9"/>
  <c r="AG32" i="9" s="1"/>
  <c r="Z75" i="9"/>
  <c r="W37" i="9"/>
  <c r="AE7" i="9"/>
  <c r="AG7" i="9" s="1"/>
  <c r="Y38" i="9"/>
  <c r="AA58" i="9"/>
  <c r="W48" i="9"/>
  <c r="AB46" i="9"/>
  <c r="AE34" i="9"/>
  <c r="AB44" i="9"/>
  <c r="Y72" i="9"/>
  <c r="AE93" i="9"/>
  <c r="AG93" i="9" s="1"/>
  <c r="V14" i="9"/>
  <c r="V75" i="9"/>
  <c r="T75" i="9" s="1"/>
  <c r="AC101" i="9"/>
  <c r="AD101" i="9" s="1"/>
  <c r="AF101" i="9" s="1"/>
  <c r="AG101" i="9" s="1"/>
  <c r="U101" i="9" s="1"/>
  <c r="AB91" i="9"/>
  <c r="U91" i="9" s="1"/>
  <c r="Z88" i="9"/>
  <c r="AC86" i="9"/>
  <c r="AD86" i="9" s="1"/>
  <c r="AF86" i="9" s="1"/>
  <c r="AG86" i="9" s="1"/>
  <c r="U86" i="9" s="1"/>
  <c r="AC71" i="9"/>
  <c r="AD71" i="9" s="1"/>
  <c r="AF71" i="9" s="1"/>
  <c r="AG71" i="9" s="1"/>
  <c r="U71" i="9" s="1"/>
  <c r="AC56" i="9"/>
  <c r="AD56" i="9" s="1"/>
  <c r="AF56" i="9" s="1"/>
  <c r="AG56" i="9" s="1"/>
  <c r="AC49" i="9"/>
  <c r="AD49" i="9" s="1"/>
  <c r="AF49" i="9" s="1"/>
  <c r="AG49" i="9" s="1"/>
  <c r="U49" i="9" s="1"/>
  <c r="AC47" i="9"/>
  <c r="AD47" i="9" s="1"/>
  <c r="AF47" i="9" s="1"/>
  <c r="AG47" i="9" s="1"/>
  <c r="U47" i="9" s="1"/>
  <c r="AC38" i="9"/>
  <c r="AD38" i="9" s="1"/>
  <c r="AF38" i="9" s="1"/>
  <c r="AG38" i="9" s="1"/>
  <c r="X35" i="9"/>
  <c r="T35" i="9" s="1"/>
  <c r="X11" i="9"/>
  <c r="T11" i="9" s="1"/>
  <c r="AC8" i="9"/>
  <c r="AD8" i="9" s="1"/>
  <c r="AF8" i="9" s="1"/>
  <c r="AG8" i="9" s="1"/>
  <c r="U8" i="9" s="1"/>
  <c r="AC19" i="9"/>
  <c r="AD19" i="9" s="1"/>
  <c r="AF19" i="9" s="1"/>
  <c r="AG19" i="9" s="1"/>
  <c r="U19" i="9" s="1"/>
  <c r="AA18" i="9"/>
  <c r="V7" i="9"/>
  <c r="Z21" i="9"/>
  <c r="V56" i="9"/>
  <c r="Y80" i="9"/>
  <c r="V85" i="9"/>
  <c r="V93" i="9"/>
  <c r="V89" i="9"/>
  <c r="Y82" i="9"/>
  <c r="AA89" i="9"/>
  <c r="Z58" i="9"/>
  <c r="AG17" i="9"/>
  <c r="Y37" i="9"/>
  <c r="Z48" i="9"/>
  <c r="W70" i="9"/>
  <c r="W46" i="9"/>
  <c r="V100" i="9"/>
  <c r="Z34" i="9"/>
  <c r="W44" i="9"/>
  <c r="AE75" i="9"/>
  <c r="AG75" i="9" s="1"/>
  <c r="AA30" i="9"/>
  <c r="AE37" i="9"/>
  <c r="AG37" i="9" s="1"/>
  <c r="AA99" i="9"/>
  <c r="T99" i="9" s="1"/>
  <c r="AB85" i="9"/>
  <c r="AD84" i="9"/>
  <c r="AF84" i="9" s="1"/>
  <c r="AG84" i="9" s="1"/>
  <c r="AG81" i="9"/>
  <c r="U81" i="9" s="1"/>
  <c r="AC64" i="9"/>
  <c r="AD64" i="9" s="1"/>
  <c r="AF64" i="9" s="1"/>
  <c r="AG64" i="9" s="1"/>
  <c r="AD45" i="9"/>
  <c r="AF45" i="9" s="1"/>
  <c r="AG45" i="9" s="1"/>
  <c r="U45" i="9" s="1"/>
  <c r="AA36" i="9"/>
  <c r="AD33" i="9"/>
  <c r="AF33" i="9" s="1"/>
  <c r="AG33" i="9" s="1"/>
  <c r="AC20" i="9"/>
  <c r="AD20" i="9" s="1"/>
  <c r="AF20" i="9" s="1"/>
  <c r="AG20" i="9" s="1"/>
  <c r="U20" i="9" s="1"/>
  <c r="AA102" i="9"/>
  <c r="Z94" i="9"/>
  <c r="AB70" i="9"/>
  <c r="Z54" i="9"/>
  <c r="U54" i="9" s="1"/>
  <c r="V50" i="9"/>
  <c r="T50" i="9" s="1"/>
  <c r="AC11" i="9"/>
  <c r="AD11" i="9" s="1"/>
  <c r="AF11" i="9" s="1"/>
  <c r="AG11" i="9" s="1"/>
  <c r="U11" i="9" s="1"/>
  <c r="AC99" i="9"/>
  <c r="AD99" i="9" s="1"/>
  <c r="AF99" i="9" s="1"/>
  <c r="AG99" i="9" s="1"/>
  <c r="U99" i="9" s="1"/>
  <c r="AC83" i="9"/>
  <c r="AD83" i="9" s="1"/>
  <c r="AF83" i="9" s="1"/>
  <c r="AG83" i="9" s="1"/>
  <c r="U83" i="9" s="1"/>
  <c r="AC59" i="9"/>
  <c r="AD59" i="9" s="1"/>
  <c r="AF59" i="9" s="1"/>
  <c r="AG59" i="9" s="1"/>
  <c r="U59" i="9" s="1"/>
  <c r="AC43" i="9"/>
  <c r="AD43" i="9" s="1"/>
  <c r="AF43" i="9" s="1"/>
  <c r="AG43" i="9" s="1"/>
  <c r="U43" i="9" s="1"/>
  <c r="AC27" i="9"/>
  <c r="AD27" i="9" s="1"/>
  <c r="AF27" i="9" s="1"/>
  <c r="X105" i="9"/>
  <c r="T105" i="9" s="1"/>
  <c r="X97" i="9"/>
  <c r="X89" i="9"/>
  <c r="X81" i="9"/>
  <c r="T81" i="9" s="1"/>
  <c r="X73" i="9"/>
  <c r="T73" i="9" s="1"/>
  <c r="X25" i="9"/>
  <c r="T25" i="9" s="1"/>
  <c r="AA97" i="9"/>
  <c r="AB82" i="9"/>
  <c r="AE77" i="9"/>
  <c r="AG77" i="9" s="1"/>
  <c r="U77" i="9" s="1"/>
  <c r="AB68" i="9"/>
  <c r="U68" i="9" s="1"/>
  <c r="V62" i="9"/>
  <c r="AA52" i="9"/>
  <c r="Y33" i="9"/>
  <c r="U33" i="9" s="1"/>
  <c r="Z30" i="9"/>
  <c r="U30" i="9" s="1"/>
  <c r="AB28" i="9"/>
  <c r="Z26" i="9"/>
  <c r="Y17" i="9"/>
  <c r="AB9" i="9"/>
  <c r="U9" i="9" s="1"/>
  <c r="AC98" i="9"/>
  <c r="AD98" i="9" s="1"/>
  <c r="AF98" i="9" s="1"/>
  <c r="AG98" i="9" s="1"/>
  <c r="U98" i="9" s="1"/>
  <c r="AC90" i="9"/>
  <c r="AD90" i="9" s="1"/>
  <c r="AF90" i="9" s="1"/>
  <c r="AG90" i="9" s="1"/>
  <c r="U90" i="9" s="1"/>
  <c r="AC82" i="9"/>
  <c r="AD82" i="9" s="1"/>
  <c r="AF82" i="9" s="1"/>
  <c r="AG82" i="9" s="1"/>
  <c r="AC74" i="9"/>
  <c r="AD74" i="9" s="1"/>
  <c r="AF74" i="9" s="1"/>
  <c r="AG74" i="9" s="1"/>
  <c r="U74" i="9" s="1"/>
  <c r="AC66" i="9"/>
  <c r="AD66" i="9" s="1"/>
  <c r="AF66" i="9" s="1"/>
  <c r="AG66" i="9" s="1"/>
  <c r="U66" i="9" s="1"/>
  <c r="AC58" i="9"/>
  <c r="AD58" i="9" s="1"/>
  <c r="AF58" i="9" s="1"/>
  <c r="AG58" i="9" s="1"/>
  <c r="AC50" i="9"/>
  <c r="AD50" i="9" s="1"/>
  <c r="AF50" i="9" s="1"/>
  <c r="AG50" i="9" s="1"/>
  <c r="U50" i="9" s="1"/>
  <c r="AC42" i="9"/>
  <c r="AD42" i="9" s="1"/>
  <c r="AF42" i="9" s="1"/>
  <c r="AG42" i="9" s="1"/>
  <c r="AC34" i="9"/>
  <c r="AD34" i="9" s="1"/>
  <c r="AF34" i="9" s="1"/>
  <c r="AG34" i="9" s="1"/>
  <c r="AC26" i="9"/>
  <c r="AD26" i="9" s="1"/>
  <c r="AF26" i="9" s="1"/>
  <c r="AG26" i="9" s="1"/>
  <c r="AC18" i="9"/>
  <c r="AD18" i="9" s="1"/>
  <c r="AF18" i="9" s="1"/>
  <c r="AG18" i="9" s="1"/>
  <c r="AC10" i="9"/>
  <c r="AD10" i="9" s="1"/>
  <c r="AF10" i="9" s="1"/>
  <c r="AG10" i="9" s="1"/>
  <c r="U10" i="9" s="1"/>
  <c r="X104" i="9"/>
  <c r="T104" i="9" s="1"/>
  <c r="X96" i="9"/>
  <c r="X88" i="9"/>
  <c r="X80" i="9"/>
  <c r="T80" i="9" s="1"/>
  <c r="X72" i="9"/>
  <c r="T72" i="9" s="1"/>
  <c r="X64" i="9"/>
  <c r="T64" i="9" s="1"/>
  <c r="X56" i="9"/>
  <c r="X48" i="9"/>
  <c r="T48" i="9" s="1"/>
  <c r="X40" i="9"/>
  <c r="T40" i="9" s="1"/>
  <c r="X32" i="9"/>
  <c r="X24" i="9"/>
  <c r="T24" i="9" s="1"/>
  <c r="X16" i="9"/>
  <c r="T16" i="9" s="1"/>
  <c r="X8" i="9"/>
  <c r="T8" i="9" s="1"/>
  <c r="Z102" i="9"/>
  <c r="AC89" i="9"/>
  <c r="AD89" i="9" s="1"/>
  <c r="AF89" i="9" s="1"/>
  <c r="AC41" i="9"/>
  <c r="AD41" i="9" s="1"/>
  <c r="AF41" i="9" s="1"/>
  <c r="AG41" i="9" s="1"/>
  <c r="U41" i="9" s="1"/>
  <c r="AC25" i="9"/>
  <c r="AD25" i="9" s="1"/>
  <c r="AF25" i="9" s="1"/>
  <c r="AG25" i="9" s="1"/>
  <c r="X103" i="9"/>
  <c r="T103" i="9" s="1"/>
  <c r="X95" i="9"/>
  <c r="T95" i="9" s="1"/>
  <c r="X87" i="9"/>
  <c r="X79" i="9"/>
  <c r="T79" i="9" s="1"/>
  <c r="X71" i="9"/>
  <c r="T71" i="9" s="1"/>
  <c r="X63" i="9"/>
  <c r="T63" i="9" s="1"/>
  <c r="X55" i="9"/>
  <c r="T55" i="9" s="1"/>
  <c r="X47" i="9"/>
  <c r="T47" i="9" s="1"/>
  <c r="X39" i="9"/>
  <c r="T39" i="9" s="1"/>
  <c r="X31" i="9"/>
  <c r="T31" i="9" s="1"/>
  <c r="X23" i="9"/>
  <c r="T23" i="9" s="1"/>
  <c r="X15" i="9"/>
  <c r="T15" i="9" s="1"/>
  <c r="X7" i="9"/>
  <c r="AB96" i="9"/>
  <c r="AA78" i="9"/>
  <c r="AE27" i="9"/>
  <c r="AG27" i="9" s="1"/>
  <c r="U27" i="9" s="1"/>
  <c r="Y18" i="9"/>
  <c r="AC96" i="9"/>
  <c r="AD96" i="9" s="1"/>
  <c r="AF96" i="9" s="1"/>
  <c r="AG96" i="9" s="1"/>
  <c r="AC88" i="9"/>
  <c r="AD88" i="9" s="1"/>
  <c r="AF88" i="9" s="1"/>
  <c r="AG88" i="9" s="1"/>
  <c r="AC48" i="9"/>
  <c r="AD48" i="9" s="1"/>
  <c r="AF48" i="9" s="1"/>
  <c r="AG48" i="9" s="1"/>
  <c r="AC16" i="9"/>
  <c r="AD16" i="9" s="1"/>
  <c r="AF16" i="9" s="1"/>
  <c r="AG16" i="9" s="1"/>
  <c r="X102" i="9"/>
  <c r="T102" i="9" s="1"/>
  <c r="X94" i="9"/>
  <c r="T94" i="9" s="1"/>
  <c r="X86" i="9"/>
  <c r="T86" i="9" s="1"/>
  <c r="X78" i="9"/>
  <c r="X70" i="9"/>
  <c r="X62" i="9"/>
  <c r="X54" i="9"/>
  <c r="T54" i="9" s="1"/>
  <c r="X46" i="9"/>
  <c r="T46" i="9" s="1"/>
  <c r="X38" i="9"/>
  <c r="T38" i="9" s="1"/>
  <c r="X30" i="9"/>
  <c r="X22" i="9"/>
  <c r="X14" i="9"/>
  <c r="X6" i="9"/>
  <c r="T6" i="9" s="1"/>
  <c r="AC95" i="9"/>
  <c r="AD95" i="9" s="1"/>
  <c r="AF95" i="9" s="1"/>
  <c r="AG95" i="9" s="1"/>
  <c r="U95" i="9" s="1"/>
  <c r="AC15" i="9"/>
  <c r="AD15" i="9" s="1"/>
  <c r="AF15" i="9" s="1"/>
  <c r="AG15" i="9" s="1"/>
  <c r="X101" i="9"/>
  <c r="T101" i="9" s="1"/>
  <c r="X93" i="9"/>
  <c r="T93" i="9" s="1"/>
  <c r="X85" i="9"/>
  <c r="T85" i="9" s="1"/>
  <c r="X77" i="9"/>
  <c r="T77" i="9" s="1"/>
  <c r="X69" i="9"/>
  <c r="T69" i="9" s="1"/>
  <c r="X61" i="9"/>
  <c r="T61" i="9" s="1"/>
  <c r="X53" i="9"/>
  <c r="T53" i="9" s="1"/>
  <c r="X45" i="9"/>
  <c r="T45" i="9" s="1"/>
  <c r="X37" i="9"/>
  <c r="X29" i="9"/>
  <c r="T29" i="9" s="1"/>
  <c r="X21" i="9"/>
  <c r="X13" i="9"/>
  <c r="T13" i="9" s="1"/>
  <c r="W85" i="9"/>
  <c r="W60" i="9"/>
  <c r="Z42" i="9"/>
  <c r="AE28" i="9"/>
  <c r="AG28" i="9" s="1"/>
  <c r="AC6" i="9"/>
  <c r="AD6" i="9" s="1"/>
  <c r="AF6" i="9" s="1"/>
  <c r="AG6" i="9" s="1"/>
  <c r="U6" i="9" s="1"/>
  <c r="X100" i="9"/>
  <c r="T100" i="9" s="1"/>
  <c r="X92" i="9"/>
  <c r="X84" i="9"/>
  <c r="X76" i="9"/>
  <c r="T76" i="9" s="1"/>
  <c r="X68" i="9"/>
  <c r="T68" i="9" s="1"/>
  <c r="X60" i="9"/>
  <c r="X52" i="9"/>
  <c r="X44" i="9"/>
  <c r="T44" i="9" s="1"/>
  <c r="X36" i="9"/>
  <c r="X28" i="9"/>
  <c r="T28" i="9" s="1"/>
  <c r="X20" i="9"/>
  <c r="T20" i="9" s="1"/>
  <c r="X12" i="9"/>
  <c r="T12" i="9" s="1"/>
  <c r="Z96" i="9"/>
  <c r="AC61" i="9"/>
  <c r="AD61" i="9" s="1"/>
  <c r="AF61" i="9" s="1"/>
  <c r="AG61" i="9" s="1"/>
  <c r="U61" i="9" s="1"/>
  <c r="AC29" i="9"/>
  <c r="AD29" i="9" s="1"/>
  <c r="AF29" i="9" s="1"/>
  <c r="AG29" i="9" s="1"/>
  <c r="AE5" i="16"/>
  <c r="S5" i="16"/>
  <c r="R5" i="16"/>
  <c r="S103" i="16"/>
  <c r="S34" i="16"/>
  <c r="S36" i="16"/>
  <c r="S25" i="16"/>
  <c r="R9" i="16"/>
  <c r="Y14" i="16"/>
  <c r="T14" i="16"/>
  <c r="W14" i="16"/>
  <c r="V14" i="16"/>
  <c r="Z14" i="16"/>
  <c r="AC14" i="16"/>
  <c r="U14" i="16"/>
  <c r="X14" i="16"/>
  <c r="AA14" i="16"/>
  <c r="AB14" i="16" s="1"/>
  <c r="AD14" i="16" s="1"/>
  <c r="AE98" i="16"/>
  <c r="S98" i="16" s="1"/>
  <c r="R86" i="16"/>
  <c r="R46" i="16"/>
  <c r="U104" i="16"/>
  <c r="T104" i="16"/>
  <c r="Y104" i="16"/>
  <c r="Z104" i="16"/>
  <c r="V104" i="16"/>
  <c r="W104" i="16"/>
  <c r="X104" i="16"/>
  <c r="Z96" i="16"/>
  <c r="X96" i="16"/>
  <c r="Y96" i="16"/>
  <c r="V96" i="16"/>
  <c r="T96" i="16"/>
  <c r="W96" i="16"/>
  <c r="U96" i="16"/>
  <c r="U88" i="16"/>
  <c r="Z88" i="16"/>
  <c r="T88" i="16"/>
  <c r="W88" i="16"/>
  <c r="V88" i="16"/>
  <c r="Y88" i="16"/>
  <c r="X88" i="16"/>
  <c r="Y80" i="16"/>
  <c r="X80" i="16"/>
  <c r="T80" i="16"/>
  <c r="W80" i="16"/>
  <c r="U80" i="16"/>
  <c r="V72" i="16"/>
  <c r="X72" i="16"/>
  <c r="T72" i="16"/>
  <c r="W72" i="16"/>
  <c r="U72" i="16"/>
  <c r="T64" i="16"/>
  <c r="U64" i="16"/>
  <c r="W64" i="16"/>
  <c r="Y64" i="16"/>
  <c r="V56" i="16"/>
  <c r="U56" i="16"/>
  <c r="Z56" i="16"/>
  <c r="T56" i="16"/>
  <c r="W56" i="16"/>
  <c r="X56" i="16"/>
  <c r="Y56" i="16"/>
  <c r="W48" i="16"/>
  <c r="Y48" i="16"/>
  <c r="U48" i="16"/>
  <c r="V48" i="16"/>
  <c r="T48" i="16"/>
  <c r="V40" i="16"/>
  <c r="T40" i="16"/>
  <c r="Z40" i="16"/>
  <c r="U40" i="16"/>
  <c r="Y40" i="16"/>
  <c r="Y32" i="16"/>
  <c r="Z32" i="16"/>
  <c r="U32" i="16"/>
  <c r="W32" i="16"/>
  <c r="V32" i="16"/>
  <c r="X32" i="16"/>
  <c r="U24" i="16"/>
  <c r="AB24" i="16"/>
  <c r="AD24" i="16" s="1"/>
  <c r="T24" i="16"/>
  <c r="V24" i="16"/>
  <c r="W24" i="16"/>
  <c r="Y24" i="16"/>
  <c r="X24" i="16"/>
  <c r="T16" i="16"/>
  <c r="X16" i="16"/>
  <c r="AB16" i="16"/>
  <c r="AD16" i="16" s="1"/>
  <c r="AE16" i="16" s="1"/>
  <c r="W16" i="16"/>
  <c r="Z16" i="16"/>
  <c r="Y16" i="16"/>
  <c r="U16" i="16"/>
  <c r="V16" i="16"/>
  <c r="Z8" i="16"/>
  <c r="X8" i="16"/>
  <c r="V8" i="16"/>
  <c r="T8" i="16"/>
  <c r="W8" i="16"/>
  <c r="V51" i="16"/>
  <c r="AC51" i="16"/>
  <c r="X51" i="16"/>
  <c r="Z51" i="16"/>
  <c r="U51" i="16"/>
  <c r="Y51" i="16"/>
  <c r="T51" i="16"/>
  <c r="W51" i="16"/>
  <c r="AA51" i="16"/>
  <c r="AB51" i="16" s="1"/>
  <c r="AD51" i="16" s="1"/>
  <c r="AE19" i="16"/>
  <c r="S19" i="16" s="1"/>
  <c r="T6" i="16"/>
  <c r="AA6" i="16"/>
  <c r="AB6" i="16" s="1"/>
  <c r="AD6" i="16" s="1"/>
  <c r="AE6" i="16" s="1"/>
  <c r="W6" i="16"/>
  <c r="X6" i="16"/>
  <c r="Z6" i="16"/>
  <c r="Y6" i="16"/>
  <c r="U6" i="16"/>
  <c r="V6" i="16"/>
  <c r="AE9" i="16"/>
  <c r="S9" i="16" s="1"/>
  <c r="AE58" i="16"/>
  <c r="AE17" i="16"/>
  <c r="S17" i="16" s="1"/>
  <c r="S89" i="16"/>
  <c r="AE76" i="16"/>
  <c r="S76" i="16" s="1"/>
  <c r="Z53" i="16"/>
  <c r="W53" i="16"/>
  <c r="T53" i="16"/>
  <c r="V53" i="16"/>
  <c r="Y53" i="16"/>
  <c r="AA53" i="16"/>
  <c r="AB53" i="16" s="1"/>
  <c r="AD53" i="16" s="1"/>
  <c r="U53" i="16"/>
  <c r="AC53" i="16"/>
  <c r="R29" i="16"/>
  <c r="Y90" i="16"/>
  <c r="T90" i="16"/>
  <c r="U90" i="16"/>
  <c r="Z90" i="16"/>
  <c r="X90" i="16"/>
  <c r="AA90" i="16"/>
  <c r="AB90" i="16" s="1"/>
  <c r="AD90" i="16" s="1"/>
  <c r="AC90" i="16"/>
  <c r="Z72" i="16"/>
  <c r="R45" i="16"/>
  <c r="T18" i="16"/>
  <c r="V18" i="16"/>
  <c r="AA18" i="16"/>
  <c r="AB18" i="16" s="1"/>
  <c r="AD18" i="16" s="1"/>
  <c r="W18" i="16"/>
  <c r="X18" i="16"/>
  <c r="Z18" i="16"/>
  <c r="U18" i="16"/>
  <c r="AC18" i="16"/>
  <c r="AE62" i="16"/>
  <c r="R25" i="16"/>
  <c r="AE81" i="16"/>
  <c r="S10" i="16"/>
  <c r="W40" i="16"/>
  <c r="X48" i="16"/>
  <c r="S33" i="16"/>
  <c r="U102" i="16"/>
  <c r="Y102" i="16"/>
  <c r="X102" i="16"/>
  <c r="V102" i="16"/>
  <c r="AA102" i="16"/>
  <c r="AB102" i="16" s="1"/>
  <c r="AD102" i="16" s="1"/>
  <c r="AE102" i="16" s="1"/>
  <c r="T102" i="16"/>
  <c r="Z102" i="16"/>
  <c r="AB40" i="16"/>
  <c r="AD40" i="16" s="1"/>
  <c r="AE40" i="16" s="1"/>
  <c r="R20" i="16"/>
  <c r="S27" i="16"/>
  <c r="S77" i="16"/>
  <c r="AB56" i="16"/>
  <c r="AD56" i="16" s="1"/>
  <c r="AE56" i="16" s="1"/>
  <c r="AB104" i="16"/>
  <c r="AD104" i="16" s="1"/>
  <c r="AE104" i="16" s="1"/>
  <c r="AA84" i="16"/>
  <c r="AB84" i="16" s="1"/>
  <c r="AD84" i="16" s="1"/>
  <c r="X84" i="16"/>
  <c r="V84" i="16"/>
  <c r="Z84" i="16"/>
  <c r="AC84" i="16"/>
  <c r="AE84" i="16" s="1"/>
  <c r="U84" i="16"/>
  <c r="T84" i="16"/>
  <c r="R84" i="16" s="1"/>
  <c r="T32" i="16"/>
  <c r="AE82" i="16"/>
  <c r="S82" i="16" s="1"/>
  <c r="S30" i="16"/>
  <c r="AE24" i="16"/>
  <c r="R50" i="16"/>
  <c r="AA99" i="16"/>
  <c r="AB99" i="16" s="1"/>
  <c r="AD99" i="16" s="1"/>
  <c r="W99" i="16"/>
  <c r="Z99" i="16"/>
  <c r="V99" i="16"/>
  <c r="AC99" i="16"/>
  <c r="T99" i="16"/>
  <c r="Y99" i="16"/>
  <c r="X99" i="16"/>
  <c r="U99" i="16"/>
  <c r="X44" i="16"/>
  <c r="V44" i="16"/>
  <c r="AC44" i="16"/>
  <c r="Z44" i="16"/>
  <c r="Y44" i="16"/>
  <c r="W44" i="16"/>
  <c r="AA44" i="16"/>
  <c r="AB44" i="16" s="1"/>
  <c r="AD44" i="16" s="1"/>
  <c r="T44" i="16"/>
  <c r="Z24" i="16"/>
  <c r="Z50" i="16"/>
  <c r="S50" i="16" s="1"/>
  <c r="Y50" i="16"/>
  <c r="T90" i="7"/>
  <c r="T80" i="7"/>
  <c r="S55" i="7"/>
  <c r="S47" i="7"/>
  <c r="S63" i="7"/>
  <c r="S94" i="7"/>
  <c r="S51" i="7"/>
  <c r="S86" i="7"/>
  <c r="S100" i="7"/>
  <c r="AA11" i="7"/>
  <c r="T11" i="7" s="1"/>
  <c r="T96" i="7"/>
  <c r="S88" i="7"/>
  <c r="S39" i="7"/>
  <c r="X86" i="7"/>
  <c r="T86" i="7" s="1"/>
  <c r="Z74" i="7"/>
  <c r="U64" i="7"/>
  <c r="S64" i="7" s="1"/>
  <c r="U61" i="7"/>
  <c r="AA34" i="7"/>
  <c r="T6" i="7"/>
  <c r="T92" i="7"/>
  <c r="S34" i="7"/>
  <c r="T69" i="7"/>
  <c r="AC36" i="7"/>
  <c r="AE36" i="7" s="1"/>
  <c r="AF36" i="7" s="1"/>
  <c r="X31" i="7"/>
  <c r="AA23" i="7"/>
  <c r="AA18" i="7"/>
  <c r="T66" i="7"/>
  <c r="T75" i="7"/>
  <c r="S62" i="7"/>
  <c r="S54" i="7"/>
  <c r="S74" i="7"/>
  <c r="T60" i="7"/>
  <c r="T76" i="7"/>
  <c r="T56" i="7"/>
  <c r="S71" i="7"/>
  <c r="AC24" i="7"/>
  <c r="AE24" i="7" s="1"/>
  <c r="AF24" i="7" s="1"/>
  <c r="AA101" i="7"/>
  <c r="X81" i="7"/>
  <c r="V103" i="7"/>
  <c r="Y95" i="7"/>
  <c r="U75" i="7"/>
  <c r="S75" i="7" s="1"/>
  <c r="W66" i="7"/>
  <c r="S66" i="7" s="1"/>
  <c r="AC41" i="7"/>
  <c r="AE41" i="7" s="1"/>
  <c r="AF41" i="7" s="1"/>
  <c r="T39" i="7"/>
  <c r="T23" i="7"/>
  <c r="S9" i="7"/>
  <c r="S27" i="7"/>
  <c r="T55" i="7"/>
  <c r="U104" i="7"/>
  <c r="S104" i="7" s="1"/>
  <c r="Y79" i="7"/>
  <c r="AA52" i="7"/>
  <c r="T52" i="7" s="1"/>
  <c r="X33" i="7"/>
  <c r="T33" i="7" s="1"/>
  <c r="U7" i="7"/>
  <c r="T15" i="7"/>
  <c r="T83" i="7"/>
  <c r="T100" i="7"/>
  <c r="AC49" i="7"/>
  <c r="AE49" i="7" s="1"/>
  <c r="AF49" i="7" s="1"/>
  <c r="T49" i="7" s="1"/>
  <c r="Z45" i="7"/>
  <c r="S45" i="7" s="1"/>
  <c r="AA30" i="7"/>
  <c r="T30" i="7" s="1"/>
  <c r="AA22" i="7"/>
  <c r="T22" i="7" s="1"/>
  <c r="T18" i="7"/>
  <c r="T59" i="7"/>
  <c r="T84" i="7"/>
  <c r="S10" i="7"/>
  <c r="S68" i="7"/>
  <c r="T47" i="7"/>
  <c r="S6" i="7"/>
  <c r="X102" i="7"/>
  <c r="T102" i="7" s="1"/>
  <c r="U77" i="7"/>
  <c r="Y70" i="7"/>
  <c r="AC54" i="7"/>
  <c r="AE54" i="7" s="1"/>
  <c r="AF54" i="7" s="1"/>
  <c r="T54" i="7" s="1"/>
  <c r="AC40" i="7"/>
  <c r="AE40" i="7" s="1"/>
  <c r="AF40" i="7" s="1"/>
  <c r="V14" i="7"/>
  <c r="T14" i="7" s="1"/>
  <c r="W9" i="7"/>
  <c r="S13" i="7"/>
  <c r="S25" i="7"/>
  <c r="T45" i="7"/>
  <c r="T13" i="7"/>
  <c r="T29" i="7"/>
  <c r="S67" i="7"/>
  <c r="S19" i="7"/>
  <c r="S76" i="7"/>
  <c r="S42" i="7"/>
  <c r="X79" i="7"/>
  <c r="U84" i="7"/>
  <c r="S84" i="7" s="1"/>
  <c r="V72" i="7"/>
  <c r="T72" i="7" s="1"/>
  <c r="X62" i="7"/>
  <c r="T62" i="7" s="1"/>
  <c r="AA37" i="7"/>
  <c r="T37" i="7" s="1"/>
  <c r="T46" i="7"/>
  <c r="T42" i="7"/>
  <c r="T27" i="7"/>
  <c r="T51" i="7"/>
  <c r="T88" i="7"/>
  <c r="T19" i="7"/>
  <c r="T9" i="7"/>
  <c r="T98" i="7"/>
  <c r="W97" i="7"/>
  <c r="Z97" i="7"/>
  <c r="AA97" i="7"/>
  <c r="Y97" i="7"/>
  <c r="V97" i="7"/>
  <c r="AB97" i="7"/>
  <c r="AC97" i="7" s="1"/>
  <c r="AE97" i="7" s="1"/>
  <c r="AF97" i="7" s="1"/>
  <c r="X97" i="7"/>
  <c r="U97" i="7"/>
  <c r="AD97" i="7"/>
  <c r="T31" i="7"/>
  <c r="S96" i="7"/>
  <c r="T21" i="7"/>
  <c r="T82" i="7"/>
  <c r="T71" i="7"/>
  <c r="T94" i="7"/>
  <c r="T67" i="7"/>
  <c r="Z87" i="7"/>
  <c r="X87" i="7"/>
  <c r="Y87" i="7"/>
  <c r="W87" i="7"/>
  <c r="U87" i="7"/>
  <c r="AD87" i="7"/>
  <c r="AA87" i="7"/>
  <c r="V87" i="7"/>
  <c r="AD20" i="7"/>
  <c r="Z20" i="7"/>
  <c r="W20" i="7"/>
  <c r="Y20" i="7"/>
  <c r="T20" i="7" s="1"/>
  <c r="AA20" i="7"/>
  <c r="U20" i="7"/>
  <c r="V41" i="7"/>
  <c r="AB103" i="7"/>
  <c r="AC103" i="7" s="1"/>
  <c r="AE103" i="7" s="1"/>
  <c r="AF103" i="7" s="1"/>
  <c r="S48" i="7"/>
  <c r="X99" i="7"/>
  <c r="U99" i="7"/>
  <c r="AD99" i="7"/>
  <c r="W99" i="7"/>
  <c r="AA99" i="7"/>
  <c r="U89" i="7"/>
  <c r="U41" i="7"/>
  <c r="AD103" i="7"/>
  <c r="Y8" i="7"/>
  <c r="U101" i="7"/>
  <c r="AC44" i="7"/>
  <c r="AE44" i="7" s="1"/>
  <c r="AF44" i="7" s="1"/>
  <c r="AA32" i="7"/>
  <c r="AB26" i="7"/>
  <c r="AC26" i="7" s="1"/>
  <c r="AE26" i="7" s="1"/>
  <c r="AF26" i="7" s="1"/>
  <c r="Z41" i="7"/>
  <c r="V26" i="7"/>
  <c r="U103" i="7"/>
  <c r="W93" i="7"/>
  <c r="Z93" i="7"/>
  <c r="AB53" i="7"/>
  <c r="AC53" i="7" s="1"/>
  <c r="AE53" i="7" s="1"/>
  <c r="AF53" i="7" s="1"/>
  <c r="Z53" i="7"/>
  <c r="S53" i="7" s="1"/>
  <c r="X53" i="7"/>
  <c r="Y53" i="7"/>
  <c r="Y24" i="7"/>
  <c r="AA24" i="7"/>
  <c r="AD24" i="7"/>
  <c r="U24" i="7"/>
  <c r="X24" i="7"/>
  <c r="Z24" i="7"/>
  <c r="Y41" i="7"/>
  <c r="AA41" i="7"/>
  <c r="W44" i="7"/>
  <c r="Y44" i="7"/>
  <c r="X44" i="7"/>
  <c r="AA44" i="7"/>
  <c r="Z44" i="7"/>
  <c r="X40" i="7"/>
  <c r="T40" i="7" s="1"/>
  <c r="U40" i="7"/>
  <c r="W40" i="7"/>
  <c r="Z36" i="7"/>
  <c r="V36" i="7"/>
  <c r="U36" i="7"/>
  <c r="X36" i="7"/>
  <c r="W36" i="7"/>
  <c r="Y36" i="7"/>
  <c r="Z32" i="7"/>
  <c r="Y32" i="7"/>
  <c r="W32" i="7"/>
  <c r="X32" i="7"/>
  <c r="U32" i="7"/>
  <c r="U28" i="7"/>
  <c r="X28" i="7"/>
  <c r="Y28" i="7"/>
  <c r="Y16" i="7"/>
  <c r="W16" i="7"/>
  <c r="V16" i="7"/>
  <c r="AA16" i="7"/>
  <c r="Z12" i="7"/>
  <c r="X12" i="7"/>
  <c r="V12" i="7"/>
  <c r="Y12" i="7"/>
  <c r="AA12" i="7"/>
  <c r="W12" i="7"/>
  <c r="U8" i="7"/>
  <c r="X8" i="7"/>
  <c r="V8" i="7"/>
  <c r="AA8" i="7"/>
  <c r="V101" i="7"/>
  <c r="X101" i="7"/>
  <c r="Z101" i="7"/>
  <c r="Y101" i="7"/>
  <c r="Z103" i="7"/>
  <c r="X103" i="7"/>
  <c r="T103" i="7" s="1"/>
  <c r="W103" i="7"/>
  <c r="Y93" i="7"/>
  <c r="Z16" i="7"/>
  <c r="AA26" i="7"/>
  <c r="X26" i="7"/>
  <c r="Z26" i="7"/>
  <c r="U26" i="7"/>
  <c r="W7" i="7"/>
  <c r="Z7" i="7"/>
  <c r="Z8" i="7"/>
  <c r="W26" i="7"/>
  <c r="W28" i="7"/>
  <c r="AC32" i="7"/>
  <c r="AE32" i="7" s="1"/>
  <c r="AF32" i="7" s="1"/>
  <c r="AC7" i="7"/>
  <c r="AE7" i="7" s="1"/>
  <c r="AF7" i="7" s="1"/>
  <c r="T7" i="7" s="1"/>
  <c r="AA36" i="7"/>
  <c r="Y85" i="7"/>
  <c r="X85" i="7"/>
  <c r="W85" i="7"/>
  <c r="AB85" i="7"/>
  <c r="AC85" i="7" s="1"/>
  <c r="AE85" i="7" s="1"/>
  <c r="AF85" i="7" s="1"/>
  <c r="AA85" i="7"/>
  <c r="Z85" i="7"/>
  <c r="U85" i="7"/>
  <c r="V38" i="7"/>
  <c r="AA38" i="7"/>
  <c r="U38" i="7"/>
  <c r="S38" i="7" s="1"/>
  <c r="AD38" i="7"/>
  <c r="Y38" i="7"/>
  <c r="AA28" i="7"/>
  <c r="AA81" i="7"/>
  <c r="V95" i="7"/>
  <c r="AC73" i="7"/>
  <c r="AE73" i="7" s="1"/>
  <c r="AF73" i="7" s="1"/>
  <c r="X93" i="7"/>
  <c r="Z81" i="7"/>
  <c r="S81" i="7" s="1"/>
  <c r="AC61" i="7"/>
  <c r="AE61" i="7" s="1"/>
  <c r="AF61" i="7" s="1"/>
  <c r="X5" i="7"/>
  <c r="Y65" i="7"/>
  <c r="T65" i="7" s="1"/>
  <c r="Z65" i="7"/>
  <c r="AA95" i="7"/>
  <c r="Z69" i="7"/>
  <c r="V73" i="7"/>
  <c r="T73" i="7" s="1"/>
  <c r="AB89" i="7"/>
  <c r="AC89" i="7" s="1"/>
  <c r="AE89" i="7" s="1"/>
  <c r="AF89" i="7" s="1"/>
  <c r="Z95" i="7"/>
  <c r="V91" i="7"/>
  <c r="Z91" i="7"/>
  <c r="Z40" i="7"/>
  <c r="AB68" i="7"/>
  <c r="AC68" i="7" s="1"/>
  <c r="AE68" i="7" s="1"/>
  <c r="AF68" i="7" s="1"/>
  <c r="T68" i="7" s="1"/>
  <c r="W89" i="7"/>
  <c r="AB93" i="7"/>
  <c r="AC93" i="7" s="1"/>
  <c r="AE93" i="7" s="1"/>
  <c r="AF93" i="7" s="1"/>
  <c r="W95" i="7"/>
  <c r="AA93" i="7"/>
  <c r="W91" i="7"/>
  <c r="S91" i="7" s="1"/>
  <c r="AA89" i="7"/>
  <c r="AA74" i="7"/>
  <c r="T74" i="7" s="1"/>
  <c r="W70" i="7"/>
  <c r="S70" i="7" s="1"/>
  <c r="X16" i="7"/>
  <c r="U11" i="7"/>
  <c r="S11" i="7" s="1"/>
  <c r="Z57" i="7"/>
  <c r="W77" i="7"/>
  <c r="S77" i="7" s="1"/>
  <c r="V81" i="7"/>
  <c r="AA70" i="7"/>
  <c r="X61" i="7"/>
  <c r="V61" i="7"/>
  <c r="Z61" i="7"/>
  <c r="Z73" i="7"/>
  <c r="S73" i="7" s="1"/>
  <c r="W69" i="7"/>
  <c r="S69" i="7" s="1"/>
  <c r="W65" i="7"/>
  <c r="AD93" i="7"/>
  <c r="Y89" i="7"/>
  <c r="V93" i="7"/>
  <c r="AD89" i="7"/>
  <c r="X91" i="7"/>
  <c r="AD5" i="7"/>
  <c r="Y5" i="7"/>
  <c r="Z5" i="7"/>
  <c r="V5" i="7"/>
  <c r="W5" i="7"/>
  <c r="AA5" i="7"/>
  <c r="T5" i="9" l="1"/>
  <c r="AG86" i="15"/>
  <c r="T25" i="15"/>
  <c r="T45" i="15"/>
  <c r="T17" i="9"/>
  <c r="AE29" i="16"/>
  <c r="S29" i="16" s="1"/>
  <c r="R67" i="16"/>
  <c r="T13" i="15"/>
  <c r="T58" i="15"/>
  <c r="U86" i="15"/>
  <c r="S41" i="16"/>
  <c r="AE7" i="16"/>
  <c r="S7" i="16" s="1"/>
  <c r="S15" i="7"/>
  <c r="T104" i="7"/>
  <c r="S54" i="16"/>
  <c r="U71" i="15"/>
  <c r="AG16" i="15"/>
  <c r="AE12" i="16"/>
  <c r="S12" i="16" s="1"/>
  <c r="T99" i="7"/>
  <c r="S8" i="16"/>
  <c r="T56" i="9"/>
  <c r="U22" i="9"/>
  <c r="T18" i="9"/>
  <c r="U16" i="15"/>
  <c r="S73" i="16"/>
  <c r="S28" i="16"/>
  <c r="T43" i="15"/>
  <c r="T51" i="15"/>
  <c r="AG58" i="15"/>
  <c r="U96" i="15"/>
  <c r="R98" i="16"/>
  <c r="AE91" i="16"/>
  <c r="S91" i="16" s="1"/>
  <c r="R12" i="16"/>
  <c r="U48" i="9"/>
  <c r="U44" i="9"/>
  <c r="T96" i="15"/>
  <c r="R62" i="16"/>
  <c r="T10" i="7"/>
  <c r="R37" i="16"/>
  <c r="S74" i="16"/>
  <c r="R83" i="16"/>
  <c r="U84" i="9"/>
  <c r="U92" i="9"/>
  <c r="S71" i="16"/>
  <c r="U75" i="15"/>
  <c r="R11" i="16"/>
  <c r="S20" i="16"/>
  <c r="R89" i="16"/>
  <c r="R73" i="16"/>
  <c r="T10" i="15"/>
  <c r="AE67" i="16"/>
  <c r="S67" i="16" s="1"/>
  <c r="U47" i="15"/>
  <c r="S95" i="7"/>
  <c r="T44" i="7"/>
  <c r="S93" i="7"/>
  <c r="S81" i="16"/>
  <c r="S96" i="16"/>
  <c r="U75" i="9"/>
  <c r="U66" i="15"/>
  <c r="N66" i="15" s="1"/>
  <c r="U82" i="15"/>
  <c r="T63" i="15"/>
  <c r="S57" i="7"/>
  <c r="T32" i="7"/>
  <c r="R44" i="16"/>
  <c r="S84" i="16"/>
  <c r="R51" i="16"/>
  <c r="R8" i="16"/>
  <c r="S48" i="16"/>
  <c r="R72" i="16"/>
  <c r="T66" i="15"/>
  <c r="U41" i="15"/>
  <c r="U24" i="15"/>
  <c r="T26" i="15"/>
  <c r="U93" i="9"/>
  <c r="T79" i="7"/>
  <c r="N79" i="7" s="1"/>
  <c r="S62" i="16"/>
  <c r="T92" i="9"/>
  <c r="T21" i="9"/>
  <c r="T30" i="9"/>
  <c r="T7" i="9"/>
  <c r="T82" i="9"/>
  <c r="T60" i="15"/>
  <c r="AE60" i="16"/>
  <c r="S60" i="16" s="1"/>
  <c r="N60" i="16" s="1"/>
  <c r="R97" i="16"/>
  <c r="T34" i="7"/>
  <c r="S58" i="16"/>
  <c r="T105" i="15"/>
  <c r="S57" i="16"/>
  <c r="AG30" i="15"/>
  <c r="T53" i="15"/>
  <c r="R16" i="16"/>
  <c r="S80" i="16"/>
  <c r="U16" i="9"/>
  <c r="U102" i="9"/>
  <c r="T10" i="9"/>
  <c r="AG57" i="15"/>
  <c r="T11" i="15"/>
  <c r="T23" i="15"/>
  <c r="U12" i="15"/>
  <c r="N12" i="15" s="1"/>
  <c r="U38" i="15"/>
  <c r="T40" i="15"/>
  <c r="T89" i="9"/>
  <c r="U39" i="9"/>
  <c r="U52" i="9"/>
  <c r="U95" i="15"/>
  <c r="U87" i="15"/>
  <c r="U102" i="15"/>
  <c r="N102" i="15" s="1"/>
  <c r="T57" i="7"/>
  <c r="T91" i="7"/>
  <c r="T101" i="7"/>
  <c r="T28" i="7"/>
  <c r="T24" i="7"/>
  <c r="AE51" i="16"/>
  <c r="T97" i="9"/>
  <c r="U76" i="9"/>
  <c r="N76" i="9" s="1"/>
  <c r="U70" i="9"/>
  <c r="U64" i="9"/>
  <c r="U104" i="9"/>
  <c r="T34" i="9"/>
  <c r="U51" i="15"/>
  <c r="T59" i="15"/>
  <c r="AG91" i="15"/>
  <c r="T87" i="15"/>
  <c r="T30" i="15"/>
  <c r="T88" i="15"/>
  <c r="U56" i="15"/>
  <c r="AE37" i="16"/>
  <c r="S37" i="16" s="1"/>
  <c r="S11" i="16"/>
  <c r="N5" i="15"/>
  <c r="N6" i="15"/>
  <c r="N10" i="15"/>
  <c r="N18" i="15"/>
  <c r="N22" i="15"/>
  <c r="N26" i="15"/>
  <c r="N34" i="15"/>
  <c r="N38" i="15"/>
  <c r="N42" i="15"/>
  <c r="N50" i="15"/>
  <c r="N70" i="15"/>
  <c r="N82" i="15"/>
  <c r="N86" i="15"/>
  <c r="N9" i="9"/>
  <c r="N13" i="9"/>
  <c r="N33" i="9"/>
  <c r="N41" i="9"/>
  <c r="N45" i="9"/>
  <c r="N49" i="9"/>
  <c r="N53" i="9"/>
  <c r="N57" i="9"/>
  <c r="N61" i="9"/>
  <c r="N65" i="9"/>
  <c r="N69" i="9"/>
  <c r="N73" i="9"/>
  <c r="N77" i="9"/>
  <c r="N81" i="9"/>
  <c r="N93" i="9"/>
  <c r="N97" i="9"/>
  <c r="N101" i="9"/>
  <c r="N105" i="9"/>
  <c r="N8" i="16"/>
  <c r="N12" i="16"/>
  <c r="N20" i="16"/>
  <c r="N28" i="16"/>
  <c r="N36" i="16"/>
  <c r="N48" i="16"/>
  <c r="N52" i="16"/>
  <c r="N68" i="16"/>
  <c r="N76" i="16"/>
  <c r="N80" i="16"/>
  <c r="N84" i="16"/>
  <c r="N92" i="16"/>
  <c r="N96" i="16"/>
  <c r="N100" i="16"/>
  <c r="N20" i="7"/>
  <c r="N24" i="7"/>
  <c r="N28" i="7"/>
  <c r="N32" i="7"/>
  <c r="N40" i="7"/>
  <c r="N7" i="15"/>
  <c r="N16" i="15"/>
  <c r="N20" i="15"/>
  <c r="N24" i="15"/>
  <c r="N32" i="15"/>
  <c r="N36" i="15"/>
  <c r="N40" i="15"/>
  <c r="N44" i="15"/>
  <c r="N52" i="15"/>
  <c r="N56" i="15"/>
  <c r="N76" i="15"/>
  <c r="N84" i="15"/>
  <c r="N96" i="15"/>
  <c r="N100" i="15"/>
  <c r="N11" i="9"/>
  <c r="N19" i="9"/>
  <c r="N23" i="9"/>
  <c r="N27" i="9"/>
  <c r="N31" i="9"/>
  <c r="N35" i="9"/>
  <c r="N39" i="9"/>
  <c r="N43" i="9"/>
  <c r="N47" i="9"/>
  <c r="N51" i="9"/>
  <c r="N59" i="9"/>
  <c r="N63" i="9"/>
  <c r="N67" i="9"/>
  <c r="N71" i="9"/>
  <c r="N75" i="9"/>
  <c r="N79" i="9"/>
  <c r="N83" i="9"/>
  <c r="N91" i="9"/>
  <c r="N95" i="9"/>
  <c r="N99" i="9"/>
  <c r="N103" i="9"/>
  <c r="N10" i="16"/>
  <c r="N22" i="16"/>
  <c r="N26" i="16"/>
  <c r="N13" i="15"/>
  <c r="N17" i="15"/>
  <c r="N21" i="15"/>
  <c r="N25" i="15"/>
  <c r="N29" i="15"/>
  <c r="N33" i="15"/>
  <c r="N37" i="15"/>
  <c r="N41" i="15"/>
  <c r="N49" i="15"/>
  <c r="N53" i="15"/>
  <c r="N61" i="15"/>
  <c r="N69" i="15"/>
  <c r="N73" i="15"/>
  <c r="N77" i="15"/>
  <c r="N81" i="15"/>
  <c r="N85" i="15"/>
  <c r="N89" i="15"/>
  <c r="N93" i="15"/>
  <c r="N101" i="15"/>
  <c r="N8" i="9"/>
  <c r="N12" i="9"/>
  <c r="N27" i="15"/>
  <c r="N75" i="15"/>
  <c r="N6" i="9"/>
  <c r="N30" i="9"/>
  <c r="N40" i="9"/>
  <c r="N62" i="9"/>
  <c r="N104" i="9"/>
  <c r="N25" i="16"/>
  <c r="N34" i="16"/>
  <c r="N42" i="16"/>
  <c r="N50" i="16"/>
  <c r="N58" i="16"/>
  <c r="N66" i="16"/>
  <c r="N73" i="16"/>
  <c r="N79" i="16"/>
  <c r="N86" i="16"/>
  <c r="N11" i="7"/>
  <c r="N18" i="7"/>
  <c r="N37" i="7"/>
  <c r="N43" i="7"/>
  <c r="N47" i="7"/>
  <c r="N51" i="7"/>
  <c r="N55" i="7"/>
  <c r="N59" i="7"/>
  <c r="N63" i="7"/>
  <c r="N67" i="7"/>
  <c r="N71" i="7"/>
  <c r="N75" i="7"/>
  <c r="N83" i="7"/>
  <c r="N91" i="7"/>
  <c r="N99" i="7"/>
  <c r="N103" i="7"/>
  <c r="N20" i="9"/>
  <c r="N52" i="9"/>
  <c r="N74" i="9"/>
  <c r="N84" i="9"/>
  <c r="N15" i="16"/>
  <c r="N74" i="16"/>
  <c r="N93" i="16"/>
  <c r="N6" i="7"/>
  <c r="N25" i="7"/>
  <c r="N31" i="7"/>
  <c r="N15" i="15"/>
  <c r="N31" i="15"/>
  <c r="N47" i="15"/>
  <c r="N79" i="15"/>
  <c r="N95" i="15"/>
  <c r="N10" i="9"/>
  <c r="N22" i="9"/>
  <c r="N32" i="9"/>
  <c r="N54" i="9"/>
  <c r="N64" i="9"/>
  <c r="N86" i="9"/>
  <c r="N17" i="16"/>
  <c r="N27" i="16"/>
  <c r="N35" i="16"/>
  <c r="N43" i="16"/>
  <c r="N59" i="16"/>
  <c r="N67" i="16"/>
  <c r="N81" i="16"/>
  <c r="N87" i="16"/>
  <c r="N94" i="16"/>
  <c r="N13" i="7"/>
  <c r="N19" i="7"/>
  <c r="N44" i="7"/>
  <c r="N48" i="7"/>
  <c r="N52" i="7"/>
  <c r="N56" i="7"/>
  <c r="N60" i="7"/>
  <c r="N64" i="7"/>
  <c r="N68" i="7"/>
  <c r="N72" i="7"/>
  <c r="N76" i="7"/>
  <c r="N80" i="7"/>
  <c r="N84" i="7"/>
  <c r="N88" i="7"/>
  <c r="N92" i="7"/>
  <c r="N96" i="7"/>
  <c r="N100" i="7"/>
  <c r="N104" i="7"/>
  <c r="N44" i="9"/>
  <c r="N66" i="9"/>
  <c r="N98" i="9"/>
  <c r="N7" i="16"/>
  <c r="N29" i="16"/>
  <c r="N37" i="16"/>
  <c r="N45" i="16"/>
  <c r="N61" i="16"/>
  <c r="N69" i="16"/>
  <c r="N75" i="16"/>
  <c r="N82" i="16"/>
  <c r="N101" i="16"/>
  <c r="N7" i="7"/>
  <c r="N14" i="7"/>
  <c r="N33" i="7"/>
  <c r="N39" i="7"/>
  <c r="N19" i="15"/>
  <c r="N51" i="15"/>
  <c r="N67" i="15"/>
  <c r="N24" i="9"/>
  <c r="N78" i="9"/>
  <c r="N9" i="16"/>
  <c r="N19" i="16"/>
  <c r="N30" i="16"/>
  <c r="N38" i="16"/>
  <c r="N46" i="16"/>
  <c r="N54" i="16"/>
  <c r="N62" i="16"/>
  <c r="N70" i="16"/>
  <c r="N89" i="16"/>
  <c r="N95" i="16"/>
  <c r="N21" i="7"/>
  <c r="N27" i="7"/>
  <c r="N34" i="7"/>
  <c r="N45" i="7"/>
  <c r="N49" i="7"/>
  <c r="N57" i="7"/>
  <c r="N65" i="7"/>
  <c r="N69" i="7"/>
  <c r="N73" i="7"/>
  <c r="N77" i="7"/>
  <c r="N101" i="7"/>
  <c r="N36" i="9"/>
  <c r="N68" i="9"/>
  <c r="N90" i="9"/>
  <c r="N21" i="16"/>
  <c r="N77" i="16"/>
  <c r="N83" i="16"/>
  <c r="N9" i="7"/>
  <c r="N15" i="7"/>
  <c r="N22" i="7"/>
  <c r="N39" i="15"/>
  <c r="N55" i="15"/>
  <c r="N71" i="15"/>
  <c r="N87" i="15"/>
  <c r="N103" i="15"/>
  <c r="N16" i="9"/>
  <c r="N48" i="9"/>
  <c r="N70" i="9"/>
  <c r="N102" i="9"/>
  <c r="N11" i="16"/>
  <c r="N31" i="16"/>
  <c r="N39" i="16"/>
  <c r="N47" i="16"/>
  <c r="N55" i="16"/>
  <c r="N63" i="16"/>
  <c r="N71" i="16"/>
  <c r="N78" i="16"/>
  <c r="N97" i="16"/>
  <c r="N103" i="16"/>
  <c r="N10" i="7"/>
  <c r="N29" i="7"/>
  <c r="N35" i="7"/>
  <c r="N42" i="7"/>
  <c r="N46" i="7"/>
  <c r="N50" i="7"/>
  <c r="N54" i="7"/>
  <c r="N58" i="7"/>
  <c r="N62" i="7"/>
  <c r="N66" i="7"/>
  <c r="N74" i="7"/>
  <c r="N78" i="7"/>
  <c r="N82" i="7"/>
  <c r="N86" i="7"/>
  <c r="N90" i="7"/>
  <c r="N94" i="7"/>
  <c r="N98" i="7"/>
  <c r="N102" i="7"/>
  <c r="N50" i="9"/>
  <c r="N92" i="9"/>
  <c r="N13" i="16"/>
  <c r="N23" i="16"/>
  <c r="N33" i="16"/>
  <c r="N41" i="16"/>
  <c r="N49" i="16"/>
  <c r="N57" i="16"/>
  <c r="N65" i="16"/>
  <c r="N85" i="16"/>
  <c r="N91" i="16"/>
  <c r="N98" i="16"/>
  <c r="N5" i="16"/>
  <c r="N17" i="7"/>
  <c r="N23" i="7"/>
  <c r="N30" i="7"/>
  <c r="U46" i="15"/>
  <c r="N46" i="15" s="1"/>
  <c r="U23" i="15"/>
  <c r="N23" i="15" s="1"/>
  <c r="U88" i="15"/>
  <c r="N88" i="15" s="1"/>
  <c r="T32" i="15"/>
  <c r="T72" i="15"/>
  <c r="T22" i="15"/>
  <c r="T91" i="15"/>
  <c r="U8" i="15"/>
  <c r="N8" i="15" s="1"/>
  <c r="AG65" i="15"/>
  <c r="U65" i="15" s="1"/>
  <c r="N65" i="15" s="1"/>
  <c r="U64" i="15"/>
  <c r="N64" i="15" s="1"/>
  <c r="U59" i="15"/>
  <c r="N59" i="15" s="1"/>
  <c r="U43" i="15"/>
  <c r="N43" i="15" s="1"/>
  <c r="T97" i="15"/>
  <c r="T28" i="15"/>
  <c r="T99" i="15"/>
  <c r="U58" i="15"/>
  <c r="N58" i="15" s="1"/>
  <c r="T104" i="15"/>
  <c r="U30" i="15"/>
  <c r="N30" i="15" s="1"/>
  <c r="U78" i="15"/>
  <c r="N78" i="15" s="1"/>
  <c r="T56" i="15"/>
  <c r="T86" i="15"/>
  <c r="U72" i="15"/>
  <c r="N72" i="15" s="1"/>
  <c r="T24" i="15"/>
  <c r="AG68" i="15"/>
  <c r="U68" i="15" s="1"/>
  <c r="N68" i="15" s="1"/>
  <c r="U99" i="15"/>
  <c r="N99" i="15" s="1"/>
  <c r="U62" i="15"/>
  <c r="N62" i="15" s="1"/>
  <c r="T54" i="15"/>
  <c r="T92" i="15"/>
  <c r="U11" i="15"/>
  <c r="N11" i="15" s="1"/>
  <c r="AG74" i="15"/>
  <c r="AG94" i="15"/>
  <c r="U92" i="15"/>
  <c r="N92" i="15" s="1"/>
  <c r="T65" i="15"/>
  <c r="AG80" i="15"/>
  <c r="U80" i="15" s="1"/>
  <c r="N80" i="15" s="1"/>
  <c r="U54" i="15"/>
  <c r="N54" i="15" s="1"/>
  <c r="T18" i="15"/>
  <c r="T64" i="15"/>
  <c r="U104" i="15"/>
  <c r="N104" i="15" s="1"/>
  <c r="T74" i="15"/>
  <c r="T90" i="15"/>
  <c r="T9" i="15"/>
  <c r="U35" i="15"/>
  <c r="N35" i="15" s="1"/>
  <c r="U28" i="15"/>
  <c r="N28" i="15" s="1"/>
  <c r="U14" i="15"/>
  <c r="N14" i="15" s="1"/>
  <c r="U91" i="15"/>
  <c r="N91" i="15" s="1"/>
  <c r="T68" i="15"/>
  <c r="AG83" i="15"/>
  <c r="U83" i="15" s="1"/>
  <c r="N83" i="15" s="1"/>
  <c r="U48" i="15"/>
  <c r="N48" i="15" s="1"/>
  <c r="U57" i="15"/>
  <c r="N57" i="15" s="1"/>
  <c r="U60" i="15"/>
  <c r="N60" i="15" s="1"/>
  <c r="U98" i="15"/>
  <c r="N98" i="15" s="1"/>
  <c r="T48" i="15"/>
  <c r="AG97" i="15"/>
  <c r="U97" i="15" s="1"/>
  <c r="N97" i="15" s="1"/>
  <c r="T83" i="15"/>
  <c r="U105" i="15"/>
  <c r="N105" i="15" s="1"/>
  <c r="U74" i="15"/>
  <c r="N74" i="15" s="1"/>
  <c r="T57" i="15"/>
  <c r="AG45" i="15"/>
  <c r="U45" i="15" s="1"/>
  <c r="N45" i="15" s="1"/>
  <c r="T82" i="15"/>
  <c r="T98" i="15"/>
  <c r="T35" i="15"/>
  <c r="AG63" i="15"/>
  <c r="U63" i="15" s="1"/>
  <c r="N63" i="15" s="1"/>
  <c r="U94" i="15"/>
  <c r="N94" i="15" s="1"/>
  <c r="T94" i="15"/>
  <c r="U90" i="15"/>
  <c r="N90" i="15" s="1"/>
  <c r="AG9" i="15"/>
  <c r="U9" i="15" s="1"/>
  <c r="N9" i="15" s="1"/>
  <c r="T14" i="15"/>
  <c r="T37" i="9"/>
  <c r="U38" i="9"/>
  <c r="N38" i="9" s="1"/>
  <c r="T52" i="9"/>
  <c r="U34" i="9"/>
  <c r="N34" i="9" s="1"/>
  <c r="T60" i="9"/>
  <c r="U46" i="9"/>
  <c r="N46" i="9" s="1"/>
  <c r="U80" i="9"/>
  <c r="N80" i="9" s="1"/>
  <c r="U96" i="9"/>
  <c r="N96" i="9" s="1"/>
  <c r="U60" i="9"/>
  <c r="N60" i="9" s="1"/>
  <c r="T70" i="9"/>
  <c r="T88" i="9"/>
  <c r="U17" i="9"/>
  <c r="N17" i="9" s="1"/>
  <c r="U37" i="9"/>
  <c r="N37" i="9" s="1"/>
  <c r="U56" i="9"/>
  <c r="N56" i="9" s="1"/>
  <c r="AG5" i="9"/>
  <c r="U5" i="9" s="1"/>
  <c r="N5" i="9" s="1"/>
  <c r="U29" i="9"/>
  <c r="N29" i="9" s="1"/>
  <c r="U15" i="9"/>
  <c r="N15" i="9" s="1"/>
  <c r="T58" i="9"/>
  <c r="T87" i="9"/>
  <c r="U85" i="9"/>
  <c r="N85" i="9" s="1"/>
  <c r="T14" i="9"/>
  <c r="T32" i="9"/>
  <c r="T96" i="9"/>
  <c r="U58" i="9"/>
  <c r="N58" i="9" s="1"/>
  <c r="T42" i="9"/>
  <c r="U55" i="9"/>
  <c r="N55" i="9" s="1"/>
  <c r="U14" i="9"/>
  <c r="N14" i="9" s="1"/>
  <c r="T36" i="9"/>
  <c r="AG89" i="9"/>
  <c r="U89" i="9" s="1"/>
  <c r="N89" i="9" s="1"/>
  <c r="U100" i="9"/>
  <c r="N100" i="9" s="1"/>
  <c r="U42" i="9"/>
  <c r="N42" i="9" s="1"/>
  <c r="U88" i="9"/>
  <c r="N88" i="9" s="1"/>
  <c r="U94" i="9"/>
  <c r="N94" i="9" s="1"/>
  <c r="U7" i="9"/>
  <c r="N7" i="9" s="1"/>
  <c r="U72" i="9"/>
  <c r="N72" i="9" s="1"/>
  <c r="T84" i="9"/>
  <c r="T22" i="9"/>
  <c r="U25" i="9"/>
  <c r="N25" i="9" s="1"/>
  <c r="U21" i="9"/>
  <c r="N21" i="9" s="1"/>
  <c r="U87" i="9"/>
  <c r="N87" i="9" s="1"/>
  <c r="T78" i="9"/>
  <c r="U18" i="9"/>
  <c r="N18" i="9" s="1"/>
  <c r="U26" i="9"/>
  <c r="N26" i="9" s="1"/>
  <c r="U82" i="9"/>
  <c r="N82" i="9" s="1"/>
  <c r="U28" i="9"/>
  <c r="N28" i="9" s="1"/>
  <c r="T62" i="9"/>
  <c r="B2" i="9" s="1"/>
  <c r="I18" i="13" s="1"/>
  <c r="R18" i="16"/>
  <c r="R24" i="16"/>
  <c r="S56" i="16"/>
  <c r="N56" i="16" s="1"/>
  <c r="R99" i="16"/>
  <c r="S102" i="16"/>
  <c r="N102" i="16" s="1"/>
  <c r="AE18" i="16"/>
  <c r="S18" i="16" s="1"/>
  <c r="N18" i="16" s="1"/>
  <c r="R90" i="16"/>
  <c r="R53" i="16"/>
  <c r="R96" i="16"/>
  <c r="AE99" i="16"/>
  <c r="S99" i="16" s="1"/>
  <c r="N99" i="16" s="1"/>
  <c r="S51" i="16"/>
  <c r="N51" i="16" s="1"/>
  <c r="S24" i="16"/>
  <c r="N24" i="16" s="1"/>
  <c r="S40" i="16"/>
  <c r="N40" i="16" s="1"/>
  <c r="R14" i="16"/>
  <c r="AE44" i="16"/>
  <c r="S44" i="16" s="1"/>
  <c r="N44" i="16" s="1"/>
  <c r="R6" i="16"/>
  <c r="R104" i="16"/>
  <c r="R102" i="16"/>
  <c r="AE90" i="16"/>
  <c r="S90" i="16" s="1"/>
  <c r="N90" i="16" s="1"/>
  <c r="AE53" i="16"/>
  <c r="S53" i="16" s="1"/>
  <c r="N53" i="16" s="1"/>
  <c r="R40" i="16"/>
  <c r="S64" i="16"/>
  <c r="N64" i="16" s="1"/>
  <c r="R88" i="16"/>
  <c r="S104" i="16"/>
  <c r="N104" i="16" s="1"/>
  <c r="R32" i="16"/>
  <c r="S6" i="16"/>
  <c r="N6" i="16" s="1"/>
  <c r="S16" i="16"/>
  <c r="N16" i="16" s="1"/>
  <c r="R64" i="16"/>
  <c r="R80" i="16"/>
  <c r="S32" i="16"/>
  <c r="N32" i="16" s="1"/>
  <c r="R48" i="16"/>
  <c r="R56" i="16"/>
  <c r="S72" i="16"/>
  <c r="N72" i="16" s="1"/>
  <c r="S88" i="16"/>
  <c r="N88" i="16" s="1"/>
  <c r="AE14" i="16"/>
  <c r="S14" i="16" s="1"/>
  <c r="N14" i="16" s="1"/>
  <c r="S7" i="7"/>
  <c r="S61" i="7"/>
  <c r="S44" i="7"/>
  <c r="S12" i="7"/>
  <c r="S16" i="7"/>
  <c r="S89" i="7"/>
  <c r="T93" i="7"/>
  <c r="N93" i="7" s="1"/>
  <c r="T53" i="7"/>
  <c r="N53" i="7" s="1"/>
  <c r="T89" i="7"/>
  <c r="N89" i="7" s="1"/>
  <c r="T70" i="7"/>
  <c r="N70" i="7" s="1"/>
  <c r="S87" i="7"/>
  <c r="T41" i="7"/>
  <c r="N41" i="7" s="1"/>
  <c r="S20" i="7"/>
  <c r="T81" i="7"/>
  <c r="N81" i="7" s="1"/>
  <c r="S65" i="7"/>
  <c r="S28" i="7"/>
  <c r="S24" i="7"/>
  <c r="S97" i="7"/>
  <c r="T85" i="7"/>
  <c r="N85" i="7" s="1"/>
  <c r="T8" i="7"/>
  <c r="N8" i="7" s="1"/>
  <c r="S32" i="7"/>
  <c r="S36" i="7"/>
  <c r="S101" i="7"/>
  <c r="S99" i="7"/>
  <c r="T12" i="7"/>
  <c r="N12" i="7" s="1"/>
  <c r="T36" i="7"/>
  <c r="N36" i="7" s="1"/>
  <c r="T38" i="7"/>
  <c r="N38" i="7" s="1"/>
  <c r="S26" i="7"/>
  <c r="S8" i="7"/>
  <c r="T16" i="7"/>
  <c r="N16" i="7" s="1"/>
  <c r="S103" i="7"/>
  <c r="T97" i="7"/>
  <c r="N97" i="7" s="1"/>
  <c r="S40" i="7"/>
  <c r="T61" i="7"/>
  <c r="N61" i="7" s="1"/>
  <c r="T95" i="7"/>
  <c r="N95" i="7" s="1"/>
  <c r="S85" i="7"/>
  <c r="T26" i="7"/>
  <c r="N26" i="7" s="1"/>
  <c r="S41" i="7"/>
  <c r="T87" i="7"/>
  <c r="N87" i="7" s="1"/>
  <c r="S5" i="7"/>
  <c r="T5" i="7"/>
  <c r="N5" i="7" s="1"/>
  <c r="B2" i="7" l="1"/>
  <c r="I17" i="13" s="1"/>
  <c r="H2" i="15"/>
  <c r="H19" i="13" s="1"/>
  <c r="E2" i="15"/>
  <c r="I19" i="13" s="1"/>
  <c r="E2" i="9"/>
  <c r="H18" i="13" s="1"/>
  <c r="D2" i="16"/>
  <c r="H20" i="13" s="1"/>
  <c r="B2" i="16"/>
  <c r="I20" i="13" s="1"/>
  <c r="E2" i="7"/>
  <c r="H17" i="13" s="1"/>
  <c r="M6" i="15" l="1"/>
  <c r="M10" i="15"/>
  <c r="M14" i="15"/>
  <c r="M18" i="15"/>
  <c r="M22" i="15"/>
  <c r="M26" i="15"/>
  <c r="M30" i="15"/>
  <c r="M34" i="15"/>
  <c r="M38" i="15"/>
  <c r="M42" i="15"/>
  <c r="M46" i="15"/>
  <c r="M50" i="15"/>
  <c r="M54" i="15"/>
  <c r="M58" i="15"/>
  <c r="M62" i="15"/>
  <c r="M66" i="15"/>
  <c r="M70" i="15"/>
  <c r="M74" i="15"/>
  <c r="M78" i="15"/>
  <c r="M82" i="15"/>
  <c r="M86" i="15"/>
  <c r="M90" i="15"/>
  <c r="M94" i="15"/>
  <c r="M98" i="15"/>
  <c r="M102" i="15"/>
  <c r="M9" i="9"/>
  <c r="M13" i="9"/>
  <c r="M17" i="9"/>
  <c r="M21" i="9"/>
  <c r="M25" i="9"/>
  <c r="M29" i="9"/>
  <c r="M33" i="9"/>
  <c r="M37" i="9"/>
  <c r="M41" i="9"/>
  <c r="M45" i="9"/>
  <c r="M49" i="9"/>
  <c r="M53" i="9"/>
  <c r="M57" i="9"/>
  <c r="M61" i="9"/>
  <c r="M65" i="9"/>
  <c r="M69" i="9"/>
  <c r="M73" i="9"/>
  <c r="M77" i="9"/>
  <c r="M81" i="9"/>
  <c r="M85" i="9"/>
  <c r="M89" i="9"/>
  <c r="M93" i="9"/>
  <c r="M97" i="9"/>
  <c r="M101" i="9"/>
  <c r="M105" i="9"/>
  <c r="M8" i="16"/>
  <c r="M12" i="16"/>
  <c r="M16" i="16"/>
  <c r="M20" i="16"/>
  <c r="M24" i="16"/>
  <c r="M28" i="16"/>
  <c r="M32" i="16"/>
  <c r="M36" i="16"/>
  <c r="M40" i="16"/>
  <c r="M44" i="16"/>
  <c r="M48" i="16"/>
  <c r="M52" i="16"/>
  <c r="M56" i="16"/>
  <c r="M60" i="16"/>
  <c r="M64" i="16"/>
  <c r="M68" i="16"/>
  <c r="M72" i="16"/>
  <c r="M76" i="16"/>
  <c r="M80" i="16"/>
  <c r="M84" i="16"/>
  <c r="M88" i="16"/>
  <c r="M92" i="16"/>
  <c r="M96" i="16"/>
  <c r="M100" i="16"/>
  <c r="M104" i="16"/>
  <c r="M8" i="7"/>
  <c r="M12" i="7"/>
  <c r="M16" i="7"/>
  <c r="M20" i="7"/>
  <c r="M24" i="7"/>
  <c r="M28" i="7"/>
  <c r="M32" i="7"/>
  <c r="M36" i="7"/>
  <c r="M40" i="7"/>
  <c r="M5" i="15"/>
  <c r="M7" i="15"/>
  <c r="M11" i="15"/>
  <c r="M15" i="15"/>
  <c r="M19" i="15"/>
  <c r="M23" i="15"/>
  <c r="M27" i="15"/>
  <c r="M31" i="15"/>
  <c r="M35" i="15"/>
  <c r="M39" i="15"/>
  <c r="M43" i="15"/>
  <c r="M47" i="15"/>
  <c r="M51" i="15"/>
  <c r="M55" i="15"/>
  <c r="M59" i="15"/>
  <c r="M63" i="15"/>
  <c r="M67" i="15"/>
  <c r="M71" i="15"/>
  <c r="M75" i="15"/>
  <c r="M79" i="15"/>
  <c r="M83" i="15"/>
  <c r="M87" i="15"/>
  <c r="M91" i="15"/>
  <c r="M95" i="15"/>
  <c r="M99" i="15"/>
  <c r="M103" i="15"/>
  <c r="M6" i="9"/>
  <c r="M10" i="9"/>
  <c r="M14" i="9"/>
  <c r="M18" i="9"/>
  <c r="M22" i="9"/>
  <c r="M26" i="9"/>
  <c r="M30" i="9"/>
  <c r="M34" i="9"/>
  <c r="M38" i="9"/>
  <c r="M42" i="9"/>
  <c r="M46" i="9"/>
  <c r="M50" i="9"/>
  <c r="M54" i="9"/>
  <c r="M58" i="9"/>
  <c r="M62" i="9"/>
  <c r="M66" i="9"/>
  <c r="M70" i="9"/>
  <c r="M74" i="9"/>
  <c r="M78" i="9"/>
  <c r="M82" i="9"/>
  <c r="M86" i="9"/>
  <c r="M90" i="9"/>
  <c r="M94" i="9"/>
  <c r="M98" i="9"/>
  <c r="M102" i="9"/>
  <c r="M9" i="16"/>
  <c r="M13" i="16"/>
  <c r="M17" i="16"/>
  <c r="M21" i="16"/>
  <c r="M25" i="16"/>
  <c r="M29" i="16"/>
  <c r="M33" i="16"/>
  <c r="M37" i="16"/>
  <c r="M41" i="16"/>
  <c r="M45" i="16"/>
  <c r="M49" i="16"/>
  <c r="M53" i="16"/>
  <c r="M57" i="16"/>
  <c r="M61" i="16"/>
  <c r="M65" i="16"/>
  <c r="M69" i="16"/>
  <c r="M8" i="15"/>
  <c r="M12" i="15"/>
  <c r="M16" i="15"/>
  <c r="M20" i="15"/>
  <c r="M24" i="15"/>
  <c r="M28" i="15"/>
  <c r="M32" i="15"/>
  <c r="M36" i="15"/>
  <c r="M40" i="15"/>
  <c r="M44" i="15"/>
  <c r="M48" i="15"/>
  <c r="M52" i="15"/>
  <c r="M56" i="15"/>
  <c r="M60" i="15"/>
  <c r="M64" i="15"/>
  <c r="M68" i="15"/>
  <c r="M72" i="15"/>
  <c r="M76" i="15"/>
  <c r="M80" i="15"/>
  <c r="M84" i="15"/>
  <c r="M88" i="15"/>
  <c r="M92" i="15"/>
  <c r="M96" i="15"/>
  <c r="M100" i="15"/>
  <c r="M104" i="15"/>
  <c r="M7" i="9"/>
  <c r="M11" i="9"/>
  <c r="M15" i="9"/>
  <c r="M19" i="9"/>
  <c r="M23" i="9"/>
  <c r="M27" i="9"/>
  <c r="M31" i="9"/>
  <c r="M35" i="9"/>
  <c r="M39" i="9"/>
  <c r="M43" i="9"/>
  <c r="M47" i="9"/>
  <c r="M51" i="9"/>
  <c r="M55" i="9"/>
  <c r="M59" i="9"/>
  <c r="M63" i="9"/>
  <c r="M67" i="9"/>
  <c r="M71" i="9"/>
  <c r="M75" i="9"/>
  <c r="M79" i="9"/>
  <c r="M83" i="9"/>
  <c r="M87" i="9"/>
  <c r="M91" i="9"/>
  <c r="M95" i="9"/>
  <c r="M99" i="9"/>
  <c r="M103" i="9"/>
  <c r="M6" i="16"/>
  <c r="M10" i="16"/>
  <c r="M14" i="16"/>
  <c r="M18" i="16"/>
  <c r="M22" i="16"/>
  <c r="M26" i="16"/>
  <c r="M30" i="16"/>
  <c r="M34" i="16"/>
  <c r="M38" i="16"/>
  <c r="M42" i="16"/>
  <c r="M46" i="16"/>
  <c r="M50" i="16"/>
  <c r="M54" i="16"/>
  <c r="M58" i="16"/>
  <c r="M62" i="16"/>
  <c r="M66" i="16"/>
  <c r="M70" i="16"/>
  <c r="M74" i="16"/>
  <c r="M78" i="16"/>
  <c r="M82" i="16"/>
  <c r="M86" i="16"/>
  <c r="M90" i="16"/>
  <c r="M94" i="16"/>
  <c r="M98" i="16"/>
  <c r="M102" i="16"/>
  <c r="M6" i="7"/>
  <c r="M10" i="7"/>
  <c r="M14" i="7"/>
  <c r="M18" i="7"/>
  <c r="M22" i="7"/>
  <c r="M26" i="7"/>
  <c r="M30" i="7"/>
  <c r="M34" i="7"/>
  <c r="M38" i="7"/>
  <c r="M42" i="7"/>
  <c r="M9" i="15"/>
  <c r="M20" i="9"/>
  <c r="M52" i="9"/>
  <c r="M84" i="9"/>
  <c r="M15" i="16"/>
  <c r="M93" i="16"/>
  <c r="M99" i="16"/>
  <c r="M5" i="16"/>
  <c r="M25" i="7"/>
  <c r="M31" i="7"/>
  <c r="M13" i="15"/>
  <c r="M29" i="15"/>
  <c r="M45" i="15"/>
  <c r="M61" i="15"/>
  <c r="M77" i="15"/>
  <c r="M93" i="15"/>
  <c r="M8" i="9"/>
  <c r="M32" i="9"/>
  <c r="M64" i="9"/>
  <c r="M96" i="9"/>
  <c r="M5" i="9"/>
  <c r="M27" i="16"/>
  <c r="M35" i="16"/>
  <c r="M43" i="16"/>
  <c r="M51" i="16"/>
  <c r="M59" i="16"/>
  <c r="M67" i="16"/>
  <c r="M81" i="16"/>
  <c r="M87" i="16"/>
  <c r="M13" i="7"/>
  <c r="M19" i="7"/>
  <c r="M44" i="7"/>
  <c r="M48" i="7"/>
  <c r="M52" i="7"/>
  <c r="M56" i="7"/>
  <c r="M60" i="7"/>
  <c r="M64" i="7"/>
  <c r="M68" i="7"/>
  <c r="M72" i="7"/>
  <c r="M76" i="7"/>
  <c r="M80" i="7"/>
  <c r="M84" i="7"/>
  <c r="M88" i="7"/>
  <c r="M92" i="7"/>
  <c r="M96" i="7"/>
  <c r="M100" i="7"/>
  <c r="M104" i="7"/>
  <c r="M44" i="9"/>
  <c r="M76" i="9"/>
  <c r="M7" i="16"/>
  <c r="M75" i="16"/>
  <c r="M101" i="16"/>
  <c r="M7" i="7"/>
  <c r="M33" i="7"/>
  <c r="M39" i="7"/>
  <c r="M17" i="15"/>
  <c r="M33" i="15"/>
  <c r="M49" i="15"/>
  <c r="M65" i="15"/>
  <c r="M81" i="15"/>
  <c r="M97" i="15"/>
  <c r="M12" i="9"/>
  <c r="M24" i="9"/>
  <c r="M56" i="9"/>
  <c r="M88" i="9"/>
  <c r="M19" i="16"/>
  <c r="M89" i="16"/>
  <c r="M95" i="16"/>
  <c r="M21" i="7"/>
  <c r="M27" i="7"/>
  <c r="M45" i="7"/>
  <c r="M49" i="7"/>
  <c r="M53" i="7"/>
  <c r="M57" i="7"/>
  <c r="M61" i="7"/>
  <c r="M65" i="7"/>
  <c r="M69" i="7"/>
  <c r="M73" i="7"/>
  <c r="M77" i="7"/>
  <c r="M81" i="7"/>
  <c r="M85" i="7"/>
  <c r="M89" i="7"/>
  <c r="M93" i="7"/>
  <c r="M97" i="7"/>
  <c r="M101" i="7"/>
  <c r="M36" i="9"/>
  <c r="M68" i="9"/>
  <c r="M100" i="9"/>
  <c r="M77" i="16"/>
  <c r="M83" i="16"/>
  <c r="M9" i="7"/>
  <c r="M15" i="7"/>
  <c r="M41" i="7"/>
  <c r="M5" i="7"/>
  <c r="M21" i="15"/>
  <c r="M37" i="15"/>
  <c r="M53" i="15"/>
  <c r="M69" i="15"/>
  <c r="M85" i="15"/>
  <c r="M101" i="15"/>
  <c r="M16" i="9"/>
  <c r="M48" i="9"/>
  <c r="M80" i="9"/>
  <c r="M11" i="16"/>
  <c r="M31" i="16"/>
  <c r="M39" i="16"/>
  <c r="M47" i="16"/>
  <c r="M55" i="16"/>
  <c r="M63" i="16"/>
  <c r="M71" i="16"/>
  <c r="M97" i="16"/>
  <c r="M103" i="16"/>
  <c r="M29" i="7"/>
  <c r="M35" i="7"/>
  <c r="M46" i="7"/>
  <c r="M50" i="7"/>
  <c r="M54" i="7"/>
  <c r="M58" i="7"/>
  <c r="M62" i="7"/>
  <c r="M66" i="7"/>
  <c r="M70" i="7"/>
  <c r="M74" i="7"/>
  <c r="M78" i="7"/>
  <c r="M82" i="7"/>
  <c r="M86" i="7"/>
  <c r="M90" i="7"/>
  <c r="M94" i="7"/>
  <c r="M98" i="7"/>
  <c r="M102" i="7"/>
  <c r="M28" i="9"/>
  <c r="M60" i="9"/>
  <c r="M92" i="9"/>
  <c r="M23" i="16"/>
  <c r="M85" i="16"/>
  <c r="M91" i="16"/>
  <c r="M17" i="7"/>
  <c r="M23" i="7"/>
  <c r="M25" i="15"/>
  <c r="M41" i="15"/>
  <c r="M57" i="15"/>
  <c r="M73" i="15"/>
  <c r="M89" i="15"/>
  <c r="M105" i="15"/>
  <c r="M40" i="9"/>
  <c r="M72" i="9"/>
  <c r="M104" i="9"/>
  <c r="M73" i="16"/>
  <c r="M79" i="16"/>
  <c r="M11" i="7"/>
  <c r="M37" i="7"/>
  <c r="M43" i="7"/>
  <c r="M47" i="7"/>
  <c r="M51" i="7"/>
  <c r="M55" i="7"/>
  <c r="M59" i="7"/>
  <c r="M63" i="7"/>
  <c r="M67" i="7"/>
  <c r="M71" i="7"/>
  <c r="M75" i="7"/>
  <c r="M79" i="7"/>
  <c r="M83" i="7"/>
  <c r="M87" i="7"/>
  <c r="M91" i="7"/>
  <c r="M95" i="7"/>
  <c r="M99" i="7"/>
  <c r="M103" i="7"/>
  <c r="I21" i="13"/>
  <c r="H31" i="13" s="1"/>
  <c r="H21" i="13"/>
  <c r="H30"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Bret Ericson</author>
    <author>Microsoft Office User</author>
  </authors>
  <commentList>
    <comment ref="C2" authorId="0" shapeId="0" xr:uid="{47DE8C84-CF16-40E7-8615-4933E3A9AD67}">
      <text>
        <r>
          <rPr>
            <b/>
            <sz val="9"/>
            <color indexed="81"/>
            <rFont val="Tahoma"/>
            <family val="2"/>
          </rPr>
          <t>Bret Ericson:</t>
        </r>
        <r>
          <rPr>
            <sz val="9"/>
            <color indexed="81"/>
            <rFont val="Tahoma"/>
            <family val="2"/>
          </rPr>
          <t xml:space="preserve">
taken from ALM. </t>
        </r>
      </text>
    </comment>
    <comment ref="D2" authorId="0" shapeId="0" xr:uid="{00000000-0006-0000-0700-000001000000}">
      <text>
        <r>
          <rPr>
            <b/>
            <sz val="9"/>
            <color rgb="FF000000"/>
            <rFont val="Calibri"/>
            <family val="2"/>
          </rPr>
          <t>Bret Ericson:</t>
        </r>
        <r>
          <rPr>
            <sz val="9"/>
            <color rgb="FF000000"/>
            <rFont val="Calibri"/>
            <family val="2"/>
          </rPr>
          <t xml:space="preserve">
</t>
        </r>
        <r>
          <rPr>
            <sz val="9"/>
            <color rgb="FF000000"/>
            <rFont val="Calibri"/>
            <family val="2"/>
          </rPr>
          <t>Averaged UESEPA IEUBK values age 0-7. Zeroed out other inputs</t>
        </r>
      </text>
    </comment>
    <comment ref="E2" authorId="0" shapeId="0" xr:uid="{7CBB16C0-A4A8-4B2E-8A52-3C80BBF1373B}">
      <text>
        <r>
          <rPr>
            <b/>
            <sz val="9"/>
            <color indexed="81"/>
            <rFont val="Tahoma"/>
            <family val="2"/>
          </rPr>
          <t>Bret Ericson:</t>
        </r>
        <r>
          <rPr>
            <sz val="9"/>
            <color indexed="81"/>
            <rFont val="Tahoma"/>
            <family val="2"/>
          </rPr>
          <t xml:space="preserve">
Default IEUBK input</t>
        </r>
      </text>
    </comment>
    <comment ref="F2" authorId="0" shapeId="0" xr:uid="{00000000-0006-0000-0700-000003000000}">
      <text>
        <r>
          <rPr>
            <b/>
            <sz val="9"/>
            <color rgb="FF000000"/>
            <rFont val="Calibri"/>
            <family val="2"/>
          </rPr>
          <t>Bret Ericson:</t>
        </r>
        <r>
          <rPr>
            <sz val="9"/>
            <color rgb="FF000000"/>
            <rFont val="Calibri"/>
            <family val="2"/>
          </rPr>
          <t xml:space="preserve">
</t>
        </r>
        <r>
          <rPr>
            <sz val="9"/>
            <color rgb="FF000000"/>
            <rFont val="Calibri"/>
            <family val="2"/>
          </rPr>
          <t>From USEPA ALM NHANES III</t>
        </r>
      </text>
    </comment>
    <comment ref="H2" authorId="0" shapeId="0" xr:uid="{00000000-0006-0000-0700-000004000000}">
      <text>
        <r>
          <rPr>
            <b/>
            <sz val="9"/>
            <color rgb="FF000000"/>
            <rFont val="Calibri"/>
            <family val="2"/>
          </rPr>
          <t>Bret Ericson:</t>
        </r>
        <r>
          <rPr>
            <sz val="9"/>
            <color rgb="FF000000"/>
            <rFont val="Calibri"/>
            <family val="2"/>
          </rPr>
          <t xml:space="preserve">
</t>
        </r>
        <r>
          <rPr>
            <sz val="9"/>
            <color rgb="FF000000"/>
            <rFont val="Calibri"/>
            <family val="2"/>
          </rPr>
          <t>From USEPA ALM NHANES III</t>
        </r>
      </text>
    </comment>
    <comment ref="M2" authorId="0" shapeId="0" xr:uid="{00000000-0006-0000-0700-000005000000}">
      <text>
        <r>
          <rPr>
            <sz val="10"/>
            <color rgb="FF000000"/>
            <rFont val="Calibri"/>
            <family val="2"/>
          </rPr>
          <t>Budtz‐Jørgensen, Esben, et al. "An international pooled analysis for obtaining a benchmark dose for environmental lead exposure in children." </t>
        </r>
        <r>
          <rPr>
            <i/>
            <sz val="10"/>
            <color rgb="FF000000"/>
            <rFont val="Calibri"/>
            <family val="2"/>
          </rPr>
          <t>Risk Analysis</t>
        </r>
        <r>
          <rPr>
            <sz val="10"/>
            <color rgb="FF000000"/>
            <rFont val="Calibri"/>
            <family val="2"/>
          </rPr>
          <t> 33.3 (2013): 450-461.</t>
        </r>
      </text>
    </comment>
    <comment ref="P2" authorId="1" shapeId="0" xr:uid="{00000000-0006-0000-0700-000006000000}">
      <text>
        <r>
          <rPr>
            <sz val="10"/>
            <color rgb="FF000000"/>
            <rFont val="Tahoma"/>
            <family val="2"/>
          </rPr>
          <t>IHME Disability Weights are used. Also multiplied by 2.1 following WHO "</t>
        </r>
        <r>
          <rPr>
            <sz val="10"/>
            <color rgb="FF000000"/>
            <rFont val="Calibri"/>
            <family val="2"/>
          </rPr>
          <t xml:space="preserve">The regional adjustment ratios correct for the fact that in some regions certain diseases (such as meningitis, Japanese encephalitis) already induce cognitive impairment, and the effect of lead may therefore be more important in these regions 
</t>
        </r>
        <r>
          <rPr>
            <sz val="10"/>
            <color rgb="FF000000"/>
            <rFont val="Tahoma"/>
            <family val="2"/>
          </rPr>
          <t xml:space="preserve">
</t>
        </r>
      </text>
    </comment>
    <comment ref="AR2" authorId="1" shapeId="0" xr:uid="{00000000-0006-0000-0700-000007000000}">
      <text>
        <r>
          <rPr>
            <b/>
            <sz val="10"/>
            <color rgb="FF000000"/>
            <rFont val="Tahoma"/>
            <family val="2"/>
          </rPr>
          <t>Microsoft Office User:</t>
        </r>
        <r>
          <rPr>
            <sz val="10"/>
            <color rgb="FF000000"/>
            <rFont val="Tahoma"/>
            <family val="2"/>
          </rPr>
          <t xml:space="preserve">From IHME results tool for Kenya. Total DALYs divided by total population of Kenya then mulitplied the lead attributable fraction
</t>
        </r>
        <r>
          <rPr>
            <sz val="10"/>
            <color rgb="FF000000"/>
            <rFont val="Tahoma"/>
            <family val="2"/>
          </rPr>
          <t xml:space="preserve">
</t>
        </r>
        <r>
          <rPr>
            <sz val="10"/>
            <color rgb="FF00000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Bret Ericson</author>
  </authors>
  <commentList>
    <comment ref="H1" authorId="0" shapeId="0" xr:uid="{00000000-0006-0000-0800-000001000000}">
      <text>
        <r>
          <rPr>
            <b/>
            <sz val="10"/>
            <color rgb="FF000000"/>
            <rFont val="Tahoma"/>
            <family val="2"/>
          </rPr>
          <t>Bret Ericson:</t>
        </r>
        <r>
          <rPr>
            <sz val="10"/>
            <color rgb="FF000000"/>
            <rFont val="Tahoma"/>
            <family val="2"/>
          </rPr>
          <t xml:space="preserve">
</t>
        </r>
        <r>
          <rPr>
            <sz val="10"/>
            <color rgb="FF000000"/>
            <rFont val="Tahoma"/>
            <family val="2"/>
          </rPr>
          <t xml:space="preserve">Conservative DW (DWs range from .1-.5 for cancer diagnosis)
</t>
        </r>
      </text>
    </comment>
    <comment ref="I1" authorId="0" shapeId="0" xr:uid="{00000000-0006-0000-0800-000002000000}">
      <text>
        <r>
          <rPr>
            <b/>
            <sz val="10"/>
            <color rgb="FF000000"/>
            <rFont val="Tahoma"/>
            <family val="2"/>
          </rPr>
          <t>Bret Ericson:</t>
        </r>
        <r>
          <rPr>
            <sz val="10"/>
            <color rgb="FF000000"/>
            <rFont val="Tahoma"/>
            <family val="2"/>
          </rPr>
          <t xml:space="preserve">
</t>
        </r>
        <r>
          <rPr>
            <sz val="10"/>
            <color rgb="FF000000"/>
            <rFont val="Tahoma"/>
            <family val="2"/>
          </rPr>
          <t xml:space="preserve">Disability weights for metastasis are ~.5
</t>
        </r>
      </text>
    </comment>
    <comment ref="J1" authorId="0" shapeId="0" xr:uid="{00000000-0006-0000-0800-000003000000}">
      <text>
        <r>
          <rPr>
            <b/>
            <sz val="10"/>
            <color rgb="FF000000"/>
            <rFont val="Tahoma"/>
            <family val="2"/>
          </rPr>
          <t xml:space="preserve">Bret Ericson: </t>
        </r>
        <r>
          <rPr>
            <sz val="10"/>
            <color rgb="FF000000"/>
            <rFont val="Tahoma"/>
            <family val="2"/>
          </rPr>
          <t xml:space="preserve">Disease duration of 5 years, with 3 being diagnosis, and 2 being metatastasis. Multiplied by appropriate disability weight
</t>
        </r>
        <r>
          <rPr>
            <sz val="10"/>
            <color rgb="FF000000"/>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Bret Ericson</author>
    <author>Microsoft Office User</author>
  </authors>
  <commentList>
    <comment ref="C1" authorId="0" shapeId="0" xr:uid="{00000000-0006-0000-0500-000001000000}">
      <text>
        <r>
          <rPr>
            <b/>
            <sz val="9"/>
            <color rgb="FF000000"/>
            <rFont val="Calibri"/>
            <family val="2"/>
          </rPr>
          <t>Bret Ericson:</t>
        </r>
        <r>
          <rPr>
            <sz val="9"/>
            <color rgb="FF000000"/>
            <rFont val="Calibri"/>
            <family val="2"/>
          </rPr>
          <t xml:space="preserve">
</t>
        </r>
        <r>
          <rPr>
            <sz val="9"/>
            <color rgb="FF000000"/>
            <rFont val="Calibri"/>
            <family val="2"/>
          </rPr>
          <t>Spadaro and Rabl 2008 (based on slope developed by Axelrad 2007), 0.036 decrease in IQ for every 1 µg/day increase in dietary exposure</t>
        </r>
      </text>
    </comment>
    <comment ref="G1" authorId="1" shapeId="0" xr:uid="{00000000-0006-0000-0500-000002000000}">
      <text>
        <r>
          <rPr>
            <sz val="10"/>
            <color rgb="FF000000"/>
            <rFont val="Calibri"/>
            <family val="2"/>
            <scheme val="minor"/>
          </rPr>
          <t xml:space="preserve">IHME Disability Weights are used. Also multiplied by 2.1 following WHO "The regional adjustment ratios correct for the fact that in some regions certain diseases (such as meningitis, Japanese encephalitis) already induce cognitive impairment, and the effect of lead may therefore be more important in these regions </t>
        </r>
        <r>
          <rPr>
            <sz val="10"/>
            <color rgb="FF000000"/>
            <rFont val="Calibri"/>
            <family val="2"/>
            <scheme val="minor"/>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Bret Ericson</author>
    <author>Microsoft Office User</author>
  </authors>
  <commentList>
    <comment ref="B1" authorId="0" shapeId="0" xr:uid="{00000000-0006-0000-0600-000001000000}">
      <text>
        <r>
          <rPr>
            <b/>
            <sz val="10"/>
            <color rgb="FF000000"/>
            <rFont val="Tahoma"/>
            <family val="2"/>
          </rPr>
          <t xml:space="preserve">Set at 75 %
</t>
        </r>
      </text>
    </comment>
    <comment ref="C1" authorId="0" shapeId="0" xr:uid="{00000000-0006-0000-0600-000002000000}">
      <text>
        <r>
          <rPr>
            <b/>
            <sz val="10"/>
            <color rgb="FF000000"/>
            <rFont val="Tahoma"/>
            <family val="2"/>
          </rPr>
          <t xml:space="preserve">Assumes 100 % of absorbed DAP excreted as urine
</t>
        </r>
        <r>
          <rPr>
            <sz val="10"/>
            <color rgb="FF000000"/>
            <rFont val="Tahoma"/>
            <family val="2"/>
          </rPr>
          <t xml:space="preserve">
</t>
        </r>
      </text>
    </comment>
    <comment ref="D1" authorId="0" shapeId="0" xr:uid="{00000000-0006-0000-0600-000003000000}">
      <text>
        <r>
          <rPr>
            <b/>
            <sz val="10"/>
            <color rgb="FF000000"/>
            <rFont val="Tahoma"/>
            <family val="2"/>
          </rPr>
          <t>Uses molecular weight of dimethoate:</t>
        </r>
        <r>
          <rPr>
            <sz val="10"/>
            <color rgb="FF000000"/>
            <rFont val="Tahoma"/>
            <family val="2"/>
          </rPr>
          <t xml:space="preserve"> 229.26
</t>
        </r>
      </text>
    </comment>
    <comment ref="E1" authorId="0" shapeId="0" xr:uid="{00000000-0006-0000-0600-000004000000}">
      <text>
        <r>
          <rPr>
            <b/>
            <sz val="10"/>
            <color rgb="FF000000"/>
            <rFont val="Tahoma"/>
            <family val="2"/>
          </rPr>
          <t>Converts moles to nanomoles</t>
        </r>
      </text>
    </comment>
    <comment ref="F1" authorId="0" shapeId="0" xr:uid="{00000000-0006-0000-0600-000005000000}">
      <text>
        <r>
          <rPr>
            <b/>
            <sz val="10"/>
            <color rgb="FF000000"/>
            <rFont val="Tahoma"/>
            <family val="2"/>
          </rPr>
          <t xml:space="preserve">Assumes 2 Liters of Urine/ day (for pregnant female)
</t>
        </r>
        <r>
          <rPr>
            <sz val="10"/>
            <color rgb="FF000000"/>
            <rFont val="Tahoma"/>
            <family val="2"/>
          </rPr>
          <t xml:space="preserve">
</t>
        </r>
      </text>
    </comment>
    <comment ref="G1" authorId="0" shapeId="0" xr:uid="{00000000-0006-0000-0600-000006000000}">
      <text>
        <r>
          <rPr>
            <b/>
            <sz val="10"/>
            <color rgb="FF000000"/>
            <rFont val="Tahoma"/>
            <family val="2"/>
          </rPr>
          <t xml:space="preserve">From Bellinger (2012) 1 nanomole increase of DAP in urine results in .01 decrease in IQ
</t>
        </r>
        <r>
          <rPr>
            <sz val="10"/>
            <color rgb="FF000000"/>
            <rFont val="Tahoma"/>
            <family val="2"/>
          </rPr>
          <t xml:space="preserve">
</t>
        </r>
      </text>
    </comment>
    <comment ref="K1" authorId="1" shapeId="0" xr:uid="{00000000-0006-0000-0600-000007000000}">
      <text>
        <r>
          <rPr>
            <sz val="12"/>
            <color rgb="FF000000"/>
            <rFont val="Calibri"/>
            <family val="2"/>
            <scheme val="minor"/>
          </rPr>
          <t xml:space="preserve">IHME Disability Weights are used. Also multiplied by 2.1 following WHO "The regional adjustment ratios correct for the fact that in some regions certain diseases (such as meningitis, Japanese encephalitis) already induce cognitive impairment, and the effect of lead may therefore be more important in these regions </t>
        </r>
        <r>
          <rPr>
            <sz val="10"/>
            <color rgb="FF000000"/>
            <rFont val="Calibri"/>
            <family val="2"/>
            <scheme val="minor"/>
          </rPr>
          <t xml:space="preserve">
</t>
        </r>
      </text>
    </comment>
  </commentList>
</comments>
</file>

<file path=xl/sharedStrings.xml><?xml version="1.0" encoding="utf-8"?>
<sst xmlns="http://schemas.openxmlformats.org/spreadsheetml/2006/main" count="2436" uniqueCount="590">
  <si>
    <t>75-01-4</t>
  </si>
  <si>
    <t>Vinyl chloride</t>
  </si>
  <si>
    <t>Leukemia</t>
  </si>
  <si>
    <t>88-06-2</t>
  </si>
  <si>
    <t>2,4,6-Trichlorophenol</t>
  </si>
  <si>
    <t>Hepatocellular carcinoma</t>
  </si>
  <si>
    <t>79-00-5</t>
  </si>
  <si>
    <t>1,1,2-Trichloroethane</t>
  </si>
  <si>
    <t>Hepatocellular carcinomas and neoplastic nodules</t>
  </si>
  <si>
    <t>8001-35-2</t>
  </si>
  <si>
    <t>Toxaphene</t>
  </si>
  <si>
    <t>Hepatocellular adenomas or carcinomas</t>
  </si>
  <si>
    <t>127-18-4</t>
  </si>
  <si>
    <t>Tetrachloroethylene</t>
  </si>
  <si>
    <t>Hepatocellular adenoma or carcinoma</t>
  </si>
  <si>
    <t>630-20-6</t>
  </si>
  <si>
    <t>1,1,1,2-Tetrachloroethane</t>
  </si>
  <si>
    <t>75-56-9</t>
  </si>
  <si>
    <t>Propylene oxide</t>
  </si>
  <si>
    <t>Hepatocellular carcinoma and adenoma</t>
  </si>
  <si>
    <t>930-55-2</t>
  </si>
  <si>
    <t>N-Nitrosopyrrolidine</t>
  </si>
  <si>
    <t>Liver tumors</t>
  </si>
  <si>
    <t>62-75-9</t>
  </si>
  <si>
    <t>N-Nitrosodimethylamine</t>
  </si>
  <si>
    <t>55-18-5</t>
  </si>
  <si>
    <t>N-Nitrosodiethylamine</t>
  </si>
  <si>
    <t>Bladder and esophagus tumors</t>
  </si>
  <si>
    <t>924-16-3</t>
  </si>
  <si>
    <t>N-Nitroso-di-n-butylamine</t>
  </si>
  <si>
    <t>302-01-2</t>
  </si>
  <si>
    <t>Hydrazine/Hydrazine sulfate</t>
  </si>
  <si>
    <t>Liver tumors (adenomas and carcinomas; neoplastic nodules and hepatocellular carcinomas)</t>
  </si>
  <si>
    <t>57653-85-7</t>
  </si>
  <si>
    <t>Hexachlorodibenzo-p-dioxin (HxCDD), mixture of 1,2,3,6,7,8-HxCDD and 1,2,3,7,8,9-HxCDD</t>
  </si>
  <si>
    <t>Liver nodules and hepatocellular carcinomas</t>
  </si>
  <si>
    <t>608-73-1</t>
  </si>
  <si>
    <t>technical Hexachlorocyclohexane (t-HCH)</t>
  </si>
  <si>
    <t>Hepatic nodules and hepatocellular carcinomas</t>
  </si>
  <si>
    <t>319-85-7</t>
  </si>
  <si>
    <t>beta-Hexachlorocyclohexane (beta-HCH)</t>
  </si>
  <si>
    <t>319-84-6</t>
  </si>
  <si>
    <t>alpha-Hexachlorocyclohexane (alpha-HCH)</t>
  </si>
  <si>
    <t>Renal tubular adenomas and adenocarcinomas</t>
  </si>
  <si>
    <t>87-68-3</t>
  </si>
  <si>
    <t>Hexachlorobutadiene</t>
  </si>
  <si>
    <t>118-74-1</t>
  </si>
  <si>
    <t>Hexachlorobenzene</t>
  </si>
  <si>
    <t>Hepatocellular carcinomas</t>
  </si>
  <si>
    <t>1024-57-3</t>
  </si>
  <si>
    <t>Heptachlor epoxide</t>
  </si>
  <si>
    <t>76-44-8</t>
  </si>
  <si>
    <t>Heptachlor</t>
  </si>
  <si>
    <t>106-89-8</t>
  </si>
  <si>
    <t>Epichlorohydrin</t>
  </si>
  <si>
    <t>Hepatocellular carcinomas and neoplastic liver nodules</t>
  </si>
  <si>
    <t>122-66-7</t>
  </si>
  <si>
    <t>1,2-Diphenylhydrazine</t>
  </si>
  <si>
    <t>123-91-1</t>
  </si>
  <si>
    <t>1,4-Dioxane</t>
  </si>
  <si>
    <t>Liver carcinoma</t>
  </si>
  <si>
    <t>60-57-1</t>
  </si>
  <si>
    <t>Dieldrin</t>
  </si>
  <si>
    <t>542-75-6</t>
  </si>
  <si>
    <t>1,3-Dichloropropene</t>
  </si>
  <si>
    <t>Hemangiosarcomas</t>
  </si>
  <si>
    <t>107-06-2</t>
  </si>
  <si>
    <t>1,2-Dichloroethane</t>
  </si>
  <si>
    <t>Liver tumors, benign and malignant</t>
  </si>
  <si>
    <t>50-29-3</t>
  </si>
  <si>
    <t>p,p'-Dichlorodiphenyltrichloroethane (DDT)</t>
  </si>
  <si>
    <t>106-93-4</t>
  </si>
  <si>
    <t>1,2-Dibromoethane</t>
  </si>
  <si>
    <t>12789-03-6</t>
  </si>
  <si>
    <t>Chlordane (Technical)</t>
  </si>
  <si>
    <t>56-23-5</t>
  </si>
  <si>
    <t>Carbon tetrachloride</t>
  </si>
  <si>
    <t>Neoplastic lesions in the large intestine</t>
  </si>
  <si>
    <t>75-25-2</t>
  </si>
  <si>
    <t>Bromoform</t>
  </si>
  <si>
    <t>Respiratory tract tumors</t>
  </si>
  <si>
    <t>542-88-1</t>
  </si>
  <si>
    <t>Bis(chloromethyl)ether (BCME)</t>
  </si>
  <si>
    <t>Hepatomas</t>
  </si>
  <si>
    <t>111-44-4</t>
  </si>
  <si>
    <t>Bis(chloroethyl)ether (BCEE)</t>
  </si>
  <si>
    <t>Bladder tumors</t>
  </si>
  <si>
    <t>92-87-5</t>
  </si>
  <si>
    <t>Benzidine</t>
  </si>
  <si>
    <t>71-43-2</t>
  </si>
  <si>
    <t>Benzene</t>
  </si>
  <si>
    <t>Abdominal cavity sarcomas</t>
  </si>
  <si>
    <t>103-33-3</t>
  </si>
  <si>
    <t>Azobenzene</t>
  </si>
  <si>
    <t>7440-38-2</t>
  </si>
  <si>
    <t>Arsenic, inorganic</t>
  </si>
  <si>
    <t>Neoplastic liver nodules and carcinomas</t>
  </si>
  <si>
    <t>140-57-8</t>
  </si>
  <si>
    <t>Aramite</t>
  </si>
  <si>
    <t>309-00-2</t>
  </si>
  <si>
    <t>Aldrin</t>
  </si>
  <si>
    <t>107-13-1</t>
  </si>
  <si>
    <t>Acrylonitrile</t>
  </si>
  <si>
    <t>Tumor Type</t>
  </si>
  <si>
    <t>CASRN</t>
  </si>
  <si>
    <t>Total of liver angiosarcoma, hepatocellular carcinoma, and neoplastic nodules</t>
  </si>
  <si>
    <t>Urinary bladder, transitional cell papilloma and transitional squamous cell carcinomas</t>
  </si>
  <si>
    <t>118-96-7</t>
  </si>
  <si>
    <t>2,4,6-Trinitrotoluene (TNT)</t>
  </si>
  <si>
    <t>Combined renal pelvis carcinomas, urinary bladder papillomas and/or thyroid adenomas and carcinomas</t>
  </si>
  <si>
    <t>1582-09-8</t>
  </si>
  <si>
    <t>Trifluralin</t>
  </si>
  <si>
    <t>76-03-9</t>
  </si>
  <si>
    <t>Trichloroacetic acid</t>
  </si>
  <si>
    <t>hepatocellular carcinomas</t>
  </si>
  <si>
    <t>79-34-5</t>
  </si>
  <si>
    <t>1,1,2,2-Tetrachloroethane</t>
  </si>
  <si>
    <t>Hepatic hemangioendotheliomas or hemangiosarcomas</t>
  </si>
  <si>
    <t>91-22-5</t>
  </si>
  <si>
    <t>Quinoline</t>
  </si>
  <si>
    <t>Forestomach, squamous cell carcinoma</t>
  </si>
  <si>
    <t>Liver adenoma/ carcinoma combined</t>
  </si>
  <si>
    <t>67747-09-5</t>
  </si>
  <si>
    <t>Prochloraz</t>
  </si>
  <si>
    <t>Hepatocellular adenomas or carcinomas and adrenal benign or malignant pheochromocytomas</t>
  </si>
  <si>
    <t>87-86-5</t>
  </si>
  <si>
    <t>Pentachlorophenol</t>
  </si>
  <si>
    <t>Transitional cell carcinoma of the bladder</t>
  </si>
  <si>
    <t>86-30-6</t>
  </si>
  <si>
    <t>N-Nitrosodiphenylamine</t>
  </si>
  <si>
    <t>Hepatocellular carcinoma, cholangiocellular carcinoma and adenoma and neoplastic nodules</t>
  </si>
  <si>
    <t>1116-54-7</t>
  </si>
  <si>
    <t>N-Nitrosodiethanolamine</t>
  </si>
  <si>
    <t>621-64-7</t>
  </si>
  <si>
    <t>N-Nitrosodi-N-propylamine</t>
  </si>
  <si>
    <t>10595-95-6</t>
  </si>
  <si>
    <t>N-Nitroso-N-methylethylamine</t>
  </si>
  <si>
    <t>Thyroid, follicular cell carcinoma/ adenoma</t>
  </si>
  <si>
    <t>101-61-1</t>
  </si>
  <si>
    <t>4,4'-Methylene bis(N,N'-dimethyl)aniline</t>
  </si>
  <si>
    <t>Preputial gland carcinoma</t>
  </si>
  <si>
    <t>78-59-1</t>
  </si>
  <si>
    <t>Isophorone</t>
  </si>
  <si>
    <t>Hepatoma</t>
  </si>
  <si>
    <t>Renal adenomas and carcinomas (combined)</t>
  </si>
  <si>
    <t>67-72-1</t>
  </si>
  <si>
    <t>Hexachloroethane</t>
  </si>
  <si>
    <t>Combined liver nodules and carcinomas</t>
  </si>
  <si>
    <t>60568-05-0</t>
  </si>
  <si>
    <t>Furmecyclox</t>
  </si>
  <si>
    <t>Papillomas and carcinomas of the forestomach</t>
  </si>
  <si>
    <t>Hepatocellular adenoma and carcinoma</t>
  </si>
  <si>
    <t>Liver: hepatocellular carcinomas, neoplastic nodules; mammary gland: adenomas, fibroadenomas, fibromas, adenocarcinomas/ carcinomas</t>
  </si>
  <si>
    <t>2,4-/2,6-Dinitrotoluene mixture</t>
  </si>
  <si>
    <t>Forestomach tumors, pancreatic acinar adenoma, leukemia</t>
  </si>
  <si>
    <t>62-73-7</t>
  </si>
  <si>
    <t>Dichlorvos</t>
  </si>
  <si>
    <t>Hepatocellular adenoma/carcinoma</t>
  </si>
  <si>
    <t>Urinary bladder carcinoma</t>
  </si>
  <si>
    <t>Hepatocellular carcinomas, hepatomas</t>
  </si>
  <si>
    <t>72-55-9</t>
  </si>
  <si>
    <t>p,p'-Dichlorodiphenyldichloroethylene (DDE)</t>
  </si>
  <si>
    <t>72-54-8</t>
  </si>
  <si>
    <t>p,p'-Dichlorodiphenyl dichloroethane (DDD)</t>
  </si>
  <si>
    <t>Mammary adenocarcinoma</t>
  </si>
  <si>
    <t>91-94-1</t>
  </si>
  <si>
    <t>3,3'-Dichlorobenzidine</t>
  </si>
  <si>
    <t>Hepatoadenoma and Hepatocarcinoma</t>
  </si>
  <si>
    <t>79-43-6</t>
  </si>
  <si>
    <t>Dichloroacetic acid</t>
  </si>
  <si>
    <t>Forestomach tumors, hemangiosarcomas, thyroid follicular cell adenomas or carcinomas</t>
  </si>
  <si>
    <t>124-48-1</t>
  </si>
  <si>
    <t>Dibromochloromethane</t>
  </si>
  <si>
    <t>Combined hepatocellular adenomas and carcinomas</t>
  </si>
  <si>
    <t>103-23-1</t>
  </si>
  <si>
    <t>Di(2-ethylhexyl)adipate</t>
  </si>
  <si>
    <t>117-81-7</t>
  </si>
  <si>
    <t>Di (2-ethylhexyl)phthalate (DEHP)</t>
  </si>
  <si>
    <t>Liver neoplastic nodules or carcinoma (combined)</t>
  </si>
  <si>
    <t>1163-19-5</t>
  </si>
  <si>
    <t>2,2',3,3',4,4',5,5',6,6'-Decabromodiphenyl ether (BDE-209)</t>
  </si>
  <si>
    <t>liver hepatocellular carcinoma</t>
  </si>
  <si>
    <t>143-50-0</t>
  </si>
  <si>
    <t>Chlordecone (Kepone)</t>
  </si>
  <si>
    <t>Kidney (tubular cell adenoma and tubular cell adenocarcinoma)</t>
  </si>
  <si>
    <t>75-27-4</t>
  </si>
  <si>
    <t>Bromodichloromethane</t>
  </si>
  <si>
    <t>Testicular mesothelioma, renal tubular adenoma and carcinoma, and thyroid follicular cell adenoma and carcinoma</t>
  </si>
  <si>
    <t>15541-45-4</t>
  </si>
  <si>
    <t>Bromate</t>
  </si>
  <si>
    <t>Liver adenomas or carcinomas</t>
  </si>
  <si>
    <t>92-52-4</t>
  </si>
  <si>
    <t>Biphenyl</t>
  </si>
  <si>
    <t>Thyroid, C-cell adenoma/ carcinoma</t>
  </si>
  <si>
    <t>100-44-7</t>
  </si>
  <si>
    <t>Benzyl chloride</t>
  </si>
  <si>
    <t>Lung, adenocarcinoma</t>
  </si>
  <si>
    <t>98-07-7</t>
  </si>
  <si>
    <t>Benzotrichloride</t>
  </si>
  <si>
    <t>Skin cancer</t>
  </si>
  <si>
    <t>Spleen, combined fibrosarcoma, stromal sarcoma, capsular sarcoma and hemangiosarcoma</t>
  </si>
  <si>
    <t>62-53-3</t>
  </si>
  <si>
    <t>Aniline</t>
  </si>
  <si>
    <t>Brain and spinal cord astrocytomas, Zymbal gland carcinomas and stomach papillomas/ carcinomas</t>
  </si>
  <si>
    <t>Chemical</t>
  </si>
  <si>
    <t>DALYs</t>
  </si>
  <si>
    <t>7439-97-6</t>
  </si>
  <si>
    <t>Mercury, elemental</t>
  </si>
  <si>
    <t>121-75-5</t>
  </si>
  <si>
    <t>Malathion</t>
  </si>
  <si>
    <t>2921-88-2</t>
  </si>
  <si>
    <t>Chlorpyrifos</t>
  </si>
  <si>
    <t>CAS #</t>
  </si>
  <si>
    <t>Please select from list</t>
  </si>
  <si>
    <t>Food</t>
  </si>
  <si>
    <t>Concentration (mg/kg)</t>
  </si>
  <si>
    <t>Total daily intake</t>
  </si>
  <si>
    <t>Population</t>
  </si>
  <si>
    <t>Adult or Child</t>
  </si>
  <si>
    <t>7439-92-1</t>
  </si>
  <si>
    <t>Lead</t>
  </si>
  <si>
    <t>Commonly Used</t>
  </si>
  <si>
    <t>Full list</t>
  </si>
  <si>
    <t>--------</t>
  </si>
  <si>
    <t>Child (0-7 years)</t>
  </si>
  <si>
    <t>Adult (&gt; 15 years)</t>
  </si>
  <si>
    <t>Dust</t>
  </si>
  <si>
    <t>Soil</t>
  </si>
  <si>
    <t>Ingestion rate (mg/day)</t>
  </si>
  <si>
    <t>Total daily intake (mg/day)</t>
  </si>
  <si>
    <t>Estimated Dust Concentration</t>
  </si>
  <si>
    <t>OP</t>
  </si>
  <si>
    <t>Pb</t>
  </si>
  <si>
    <t>Hg</t>
  </si>
  <si>
    <t>Code</t>
  </si>
  <si>
    <t>Mean IQ (Child 0-7)</t>
  </si>
  <si>
    <t>SD</t>
  </si>
  <si>
    <t>IQ Decrement (Child 0-7)</t>
  </si>
  <si>
    <t>Borderline</t>
  </si>
  <si>
    <t>Mild</t>
  </si>
  <si>
    <t>Moderate</t>
  </si>
  <si>
    <t>Severe</t>
  </si>
  <si>
    <t>Profound</t>
  </si>
  <si>
    <t>DALYs/ child (0-7 years)</t>
  </si>
  <si>
    <t>Soil (µg/g)</t>
  </si>
  <si>
    <t>Total CV DALYs/ Person</t>
  </si>
  <si>
    <t>Other DALYs/ person</t>
  </si>
  <si>
    <t>Hyp DALYs/person</t>
  </si>
  <si>
    <t>Isch (DALYs/person)</t>
  </si>
  <si>
    <t>Other Cardiac  (Both Sexes)</t>
  </si>
  <si>
    <t>Hypertensive (F)</t>
  </si>
  <si>
    <t>Cerebro (Both Sexes)</t>
  </si>
  <si>
    <t>Ischaemic (Both sexes)</t>
  </si>
  <si>
    <t>Other Cardiac  (F)</t>
  </si>
  <si>
    <t>Cerebro (F)</t>
  </si>
  <si>
    <t>Ischaemic (F)</t>
  </si>
  <si>
    <t>Other Cardiac  (M)</t>
  </si>
  <si>
    <t>Hypertensive (M)</t>
  </si>
  <si>
    <t>Cerebro (M)</t>
  </si>
  <si>
    <t>Ischaemic (M)</t>
  </si>
  <si>
    <t>&gt; 20 µg/dL</t>
  </si>
  <si>
    <t>15-20 µg/dL</t>
  </si>
  <si>
    <t>10-15 µg/dL</t>
  </si>
  <si>
    <t>5-10 µg/dL</t>
  </si>
  <si>
    <t>Fetus GSD</t>
  </si>
  <si>
    <t>Fetus BLL</t>
  </si>
  <si>
    <t>Adult GSD</t>
  </si>
  <si>
    <t>Adult BLL</t>
  </si>
  <si>
    <t>Child GSD</t>
  </si>
  <si>
    <t>Child BLL</t>
  </si>
  <si>
    <t>Dust (µg/g)</t>
  </si>
  <si>
    <t>Attributable DALYS (OP)</t>
  </si>
  <si>
    <t>Attributable DALYS (Hg)</t>
  </si>
  <si>
    <t>IQ decrement OP</t>
  </si>
  <si>
    <t>IQ Decrement (Lead)</t>
  </si>
  <si>
    <t>IQ Decrement (Hg)</t>
  </si>
  <si>
    <t>Attributable Children DALYS (Lead)</t>
  </si>
  <si>
    <t>Attributable Adult DALYS (Lead)</t>
  </si>
  <si>
    <t>Total IQ decrement</t>
  </si>
  <si>
    <t>Total DALYS</t>
  </si>
  <si>
    <t>Estimated Soil Concentration</t>
  </si>
  <si>
    <t xml:space="preserve">Integrated Health and Environment Observatories for the Sound Management of Chemicals and Waste in Africa </t>
  </si>
  <si>
    <t>IQ decrement</t>
  </si>
  <si>
    <t>Water</t>
  </si>
  <si>
    <t>Dietary</t>
  </si>
  <si>
    <t>Total</t>
  </si>
  <si>
    <t>Cost per DALY</t>
  </si>
  <si>
    <t>Cost per IQ point</t>
  </si>
  <si>
    <t>Use the sections  below to enter available chemicals data</t>
  </si>
  <si>
    <t>Dietary Intake Worksheet</t>
  </si>
  <si>
    <t>CA</t>
  </si>
  <si>
    <t>Disability Weight (Diagnosis)</t>
  </si>
  <si>
    <t>Disability Weight (Metastasis)</t>
  </si>
  <si>
    <t>Attributable YLD (Ca)</t>
  </si>
  <si>
    <t>Morbitity Factor</t>
  </si>
  <si>
    <t>DALYs (Ca)</t>
  </si>
  <si>
    <t>Attributable YLL</t>
  </si>
  <si>
    <t>Oral Slope Factor (mg/kg-body weight)</t>
  </si>
  <si>
    <t>Linearized multistage procedure, extra risk</t>
  </si>
  <si>
    <t>Time- and dose-related formulation of the multistage model</t>
  </si>
  <si>
    <t>Linear extrapolation of human occupational data</t>
  </si>
  <si>
    <t>One-hit with time factor, extra risk</t>
  </si>
  <si>
    <t>Multistage model with linear extrapolation from the POD (LED10).</t>
  </si>
  <si>
    <t>Time-to-tumor, Weibull</t>
  </si>
  <si>
    <t>Multistage-Weibull model (implemented in TOX_RISK) with linear extrapolation from the POD (BMDL10).</t>
  </si>
  <si>
    <t>Multistage model with linear extrapolation from the point of departure (LED12).</t>
  </si>
  <si>
    <t>Multistage model with Poly-3 adjusted incidence data linear extrapolation from lower 95% confidence limit on dose associated with extra risk (adjusted for background) at point of departure at lower end of data range.</t>
  </si>
  <si>
    <t>Multistage model with Benchmark Dose Modeling</t>
  </si>
  <si>
    <t>Linearized multistage procedure with time-to-death analysis, extra risk</t>
  </si>
  <si>
    <t>Linearized multistage model, extra risk</t>
  </si>
  <si>
    <t>Linearized multistage procedure</t>
  </si>
  <si>
    <t>Linearized multistage, extra risk</t>
  </si>
  <si>
    <t>The multistage model with linear extrapolation from the point of departure (LED10).</t>
  </si>
  <si>
    <t>One-hit</t>
  </si>
  <si>
    <t>Weibull, extra risk</t>
  </si>
  <si>
    <t>Male mice: time-to-tumor linearized multistage procedure in dose, Weibull in time. Female mice: linearized multistage procedure</t>
  </si>
  <si>
    <t>Time-to-tumor, multistage-Weibull</t>
  </si>
  <si>
    <t>Multistage model with linear extrapolation from the point of departure (LED10).</t>
  </si>
  <si>
    <t>Multistage model (with linear extrapolation from the point of departure (BMDL10), followed by route-to-route extrapolation to the oral route and interspecies extrapolation using the PBPK model of Chiu and Ginsberg (2011).</t>
  </si>
  <si>
    <t>LED 10/ linear method</t>
  </si>
  <si>
    <t>LMS method</t>
  </si>
  <si>
    <r>
      <t>Multistage model with linear extrapolation from the POD (LED</t>
    </r>
    <r>
      <rPr>
        <vertAlign val="subscript"/>
        <sz val="12"/>
        <color theme="1"/>
        <rFont val="Arial"/>
        <family val="2"/>
      </rPr>
      <t>10</t>
    </r>
    <r>
      <rPr>
        <sz val="12"/>
        <color theme="1"/>
        <rFont val="Arial"/>
        <family val="2"/>
      </rPr>
      <t>).</t>
    </r>
  </si>
  <si>
    <r>
      <t>Log-logistic model with linear extrapolation from the POD (BMDL</t>
    </r>
    <r>
      <rPr>
        <vertAlign val="subscript"/>
        <sz val="12"/>
        <color theme="1"/>
        <rFont val="Arial"/>
        <family val="2"/>
      </rPr>
      <t>50HED</t>
    </r>
    <r>
      <rPr>
        <sz val="12"/>
        <color theme="1"/>
        <rFont val="Arial"/>
        <family val="2"/>
      </rPr>
      <t>) associated with 50% extra cancer risk.</t>
    </r>
  </si>
  <si>
    <t>Extrapolation Method</t>
  </si>
  <si>
    <t>Lifetime risk at 1ppm (soil) (70kg adult)</t>
  </si>
  <si>
    <t>Risk at 1ppb (water) (70kg adult)</t>
  </si>
  <si>
    <t>Number of Attributable Cancer Cases (population)</t>
  </si>
  <si>
    <t>Number of Attributable Cancer Cases/ person (raw)</t>
  </si>
  <si>
    <t>Number of Attributable Cancer Cases/ person/ year (raw)</t>
  </si>
  <si>
    <t>Number of Attributable Cancer Cases/ year (population)</t>
  </si>
  <si>
    <t>Volume ingested daiily (liters)</t>
  </si>
  <si>
    <t>Concentration (ppb)</t>
  </si>
  <si>
    <t>District</t>
  </si>
  <si>
    <t>Region</t>
  </si>
  <si>
    <t>Country</t>
  </si>
  <si>
    <t>Data Source</t>
  </si>
  <si>
    <t>Dimethoate</t>
  </si>
  <si>
    <t>60-51-5</t>
  </si>
  <si>
    <t>Absorption</t>
  </si>
  <si>
    <t>Dose (mg/day)</t>
  </si>
  <si>
    <t>Excretion (DAP) (g)</t>
  </si>
  <si>
    <t>Excretion (DAP) (nmols)</t>
  </si>
  <si>
    <t>IQ decrement/ nmol (0.01)</t>
  </si>
  <si>
    <t>Excretion (DAP) (nmols)/ L</t>
  </si>
  <si>
    <t>Borderline (children)</t>
  </si>
  <si>
    <t>Soil Worksheet</t>
  </si>
  <si>
    <t>Water Worksheet</t>
  </si>
  <si>
    <t>Total IQ Decrement</t>
  </si>
  <si>
    <t>Total DALYs</t>
  </si>
  <si>
    <t>Site Name</t>
  </si>
  <si>
    <t>Latitude</t>
  </si>
  <si>
    <t>Longitude</t>
  </si>
  <si>
    <t>Dust Worksheet</t>
  </si>
  <si>
    <t>Dietary Intake (mg/day)</t>
  </si>
  <si>
    <t>Dietary Intake (µg/day)</t>
  </si>
  <si>
    <t>Excretion (DAP) (moles)</t>
  </si>
  <si>
    <t>For additional information contact:</t>
  </si>
  <si>
    <t>tmoraba@environment.gov.za</t>
  </si>
  <si>
    <t>Kenya</t>
  </si>
  <si>
    <t>Zambia</t>
  </si>
  <si>
    <t>Senegal</t>
  </si>
  <si>
    <t>Ethiopia</t>
  </si>
  <si>
    <t>Zimbabwe</t>
  </si>
  <si>
    <t>Mali</t>
  </si>
  <si>
    <t>Madagascar</t>
  </si>
  <si>
    <t>Gabon</t>
  </si>
  <si>
    <t>small</t>
  </si>
  <si>
    <t>medium</t>
  </si>
  <si>
    <t>large</t>
  </si>
  <si>
    <t>[select from list]</t>
  </si>
  <si>
    <t>Population Value</t>
  </si>
  <si>
    <t>very large</t>
  </si>
  <si>
    <t>daviscy@who.int</t>
  </si>
  <si>
    <t>Pierre Quiblier (UNEP)</t>
  </si>
  <si>
    <t>Cynthia Davis (WHO)</t>
  </si>
  <si>
    <t>Thabo Moraba (Africa Institute)</t>
  </si>
  <si>
    <t>pierre.quiblier@un.org</t>
  </si>
  <si>
    <t xml:space="preserve">Calculator for the estimation of adverse health outcomes and associated productivity losses resulting from chemicals exposure </t>
  </si>
  <si>
    <t>Cost of DALYs (USD)</t>
  </si>
  <si>
    <t>Cost of IQ decrement (USD)</t>
  </si>
  <si>
    <t xml:space="preserve">This spreadsheet is intended to be used with the accompanying guidance. </t>
  </si>
  <si>
    <t>Daily</t>
  </si>
  <si>
    <t>Adjusted consumption</t>
  </si>
  <si>
    <t>Frequency</t>
  </si>
  <si>
    <t>2-3 times per week</t>
  </si>
  <si>
    <t>1-2 times per week</t>
  </si>
  <si>
    <t>Weight ingested (kilos)</t>
  </si>
  <si>
    <t>Site name</t>
  </si>
  <si>
    <t>Manganese</t>
  </si>
  <si>
    <t>7439-96-5</t>
  </si>
  <si>
    <t>Ingestion (mg/day)</t>
  </si>
  <si>
    <t>Site cost (IQ)</t>
  </si>
  <si>
    <t>Site cost (DALYs)</t>
  </si>
  <si>
    <t>Discounted lifetime earnings (3%)</t>
  </si>
  <si>
    <t>Discounted lifetime earnings (1.5%)</t>
  </si>
  <si>
    <t>IQ point (1.4 %) low</t>
  </si>
  <si>
    <t>IQ point (1.4 %) high</t>
  </si>
  <si>
    <t>Afghanistan</t>
  </si>
  <si>
    <t>Albania</t>
  </si>
  <si>
    <t>Algeria</t>
  </si>
  <si>
    <t>Angola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</si>
  <si>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</si>
  <si>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</si>
  <si>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</si>
  <si>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</si>
  <si>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</si>
  <si>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</si>
  <si>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</si>
  <si>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</si>
  <si>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</si>
  <si>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</si>
  <si>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</si>
  <si>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</si>
  <si>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</si>
  <si>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</si>
  <si>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</si>
  <si>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</si>
  <si>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</si>
  <si>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Bosnia and Herzegovina</t>
  </si>
  <si>
    <t>Botswana</t>
  </si>
  <si>
    <t>Brazil</t>
  </si>
  <si>
    <t>British Virgin Islands</t>
  </si>
  <si>
    <t>Brunei Darussalam</t>
  </si>
  <si>
    <t>Bulgaria</t>
  </si>
  <si>
    <t>Burkina Faso</t>
  </si>
  <si>
    <t>Burundi</t>
  </si>
  <si>
    <t>Cabo Verde (Cape Verde)</t>
  </si>
  <si>
    <t>Cambodia</t>
  </si>
  <si>
    <t>Cameroon</t>
  </si>
  <si>
    <t>Canada</t>
  </si>
  <si>
    <t>Cayman Islands</t>
  </si>
  <si>
    <t>Central African Republic</t>
  </si>
  <si>
    <t>Chad</t>
  </si>
  <si>
    <t>Chile</t>
  </si>
  <si>
    <t>China</t>
  </si>
  <si>
    <t>Colombia</t>
  </si>
  <si>
    <t>Comoros</t>
  </si>
  <si>
    <t>Congo (Democratic Republic of)</t>
  </si>
  <si>
    <t>Congo (Republic of)</t>
  </si>
  <si>
    <t>Costa Rica</t>
  </si>
  <si>
    <t>Côte d'Ivoire</t>
  </si>
  <si>
    <t>Croatia</t>
  </si>
  <si>
    <t>Cuba</t>
  </si>
  <si>
    <t>Curaçao</t>
  </si>
  <si>
    <t>Cyprus</t>
  </si>
  <si>
    <t>Czech Republic</t>
  </si>
  <si>
    <t>Denmark</t>
  </si>
  <si>
    <t>Djibouti</t>
  </si>
  <si>
    <t>Dominican Republic</t>
  </si>
  <si>
    <t>Ecuador</t>
  </si>
  <si>
    <t>Egypt (Arab Republic of)</t>
  </si>
  <si>
    <t>El Salvador</t>
  </si>
  <si>
    <t>Equatorial Guinea</t>
  </si>
  <si>
    <t>Estonia</t>
  </si>
  <si>
    <t>Eswatini</t>
  </si>
  <si>
    <t>Fiji</t>
  </si>
  <si>
    <t>Finland</t>
  </si>
  <si>
    <t>France</t>
  </si>
  <si>
    <t>French Polynesia</t>
  </si>
  <si>
    <t>Gambia</t>
  </si>
  <si>
    <t>Georgia</t>
  </si>
  <si>
    <t>Germany</t>
  </si>
  <si>
    <t>Ghana</t>
  </si>
  <si>
    <t>Greece</t>
  </si>
  <si>
    <t>Guam</t>
  </si>
  <si>
    <t>Guatemala</t>
  </si>
  <si>
    <t>Guinea</t>
  </si>
  <si>
    <t>Guinea-Bissau</t>
  </si>
  <si>
    <t>Guyana</t>
  </si>
  <si>
    <t>Haiti</t>
  </si>
  <si>
    <t>Honduras</t>
  </si>
  <si>
    <t>Hong Kong Special Administrative Region of the People's Republic of China (HKSAR)</t>
  </si>
  <si>
    <t>Hungary</t>
  </si>
  <si>
    <t>Iceland</t>
  </si>
  <si>
    <t>India</t>
  </si>
  <si>
    <t>Indonesia</t>
  </si>
  <si>
    <t>Iran (Islamic Republic of)</t>
  </si>
  <si>
    <t>Iraq</t>
  </si>
  <si>
    <t>Ireland</t>
  </si>
  <si>
    <t>Israel</t>
  </si>
  <si>
    <t>Italy</t>
  </si>
  <si>
    <t>Jamaica</t>
  </si>
  <si>
    <t>Japan</t>
  </si>
  <si>
    <t>Jordan</t>
  </si>
  <si>
    <t>Kazakhstan</t>
  </si>
  <si>
    <t>Korea (Republic of)</t>
  </si>
  <si>
    <t>Kuwait</t>
  </si>
  <si>
    <t>Kyrgyz Republic</t>
  </si>
  <si>
    <t>Lao People's Democratic Republic</t>
  </si>
  <si>
    <t>Latvia</t>
  </si>
  <si>
    <t>Lebanon</t>
  </si>
  <si>
    <t>Lesotho</t>
  </si>
  <si>
    <t>Liberia</t>
  </si>
  <si>
    <t>Libya</t>
  </si>
  <si>
    <t>Lithuania</t>
  </si>
  <si>
    <t>Luxembourg</t>
  </si>
  <si>
    <t>Macao Special Administrative Region of the People's Republic of China (MSAR)</t>
  </si>
  <si>
    <t>Malawi</t>
  </si>
  <si>
    <t>Malaysia</t>
  </si>
  <si>
    <t>Maldives</t>
  </si>
  <si>
    <t>Malta</t>
  </si>
  <si>
    <t>Mauritania</t>
  </si>
  <si>
    <t>Mauritius</t>
  </si>
  <si>
    <t>Mexico</t>
  </si>
  <si>
    <t>Moldova (Republic of)</t>
  </si>
  <si>
    <t>Mongolia</t>
  </si>
  <si>
    <t>Montenegro</t>
  </si>
  <si>
    <t>Morocco</t>
  </si>
  <si>
    <t>Mozambique</t>
  </si>
  <si>
    <t>Myanmar</t>
  </si>
  <si>
    <t>Namibia</t>
  </si>
  <si>
    <t>Nepal</t>
  </si>
  <si>
    <t>Netherlands</t>
  </si>
  <si>
    <t>New Caledonia</t>
  </si>
  <si>
    <t>New Zealand</t>
  </si>
  <si>
    <t>Nicaragua</t>
  </si>
  <si>
    <t>Niger</t>
  </si>
  <si>
    <t>Nigeria</t>
  </si>
  <si>
    <t>North Macedonia (Republic Of)</t>
  </si>
  <si>
    <t>Norway</t>
  </si>
  <si>
    <t>Oman</t>
  </si>
  <si>
    <t>Pakistan</t>
  </si>
  <si>
    <t>Panama</t>
  </si>
  <si>
    <t>Papua New Guinea</t>
  </si>
  <si>
    <t>Paraguay</t>
  </si>
  <si>
    <t>Peru</t>
  </si>
  <si>
    <t>Philippines</t>
  </si>
  <si>
    <t>Poland</t>
  </si>
  <si>
    <t>Portugal</t>
  </si>
  <si>
    <t>Puerto Rico</t>
  </si>
  <si>
    <t>Qatar</t>
  </si>
  <si>
    <t>Romania</t>
  </si>
  <si>
    <t>Russian Federation</t>
  </si>
  <si>
    <t>Rwanda</t>
  </si>
  <si>
    <t>Saint Lucia</t>
  </si>
  <si>
    <t>Saint Vincent and the Grenadines</t>
  </si>
  <si>
    <t>Samoa</t>
  </si>
  <si>
    <t>Sao Tome and Principe</t>
  </si>
  <si>
    <t>Saudi Arabia</t>
  </si>
  <si>
    <t>Serbia</t>
  </si>
  <si>
    <t>Sierra Leone</t>
  </si>
  <si>
    <t>Singapore</t>
  </si>
  <si>
    <t>Slovak Republic (Slovakia)</t>
  </si>
  <si>
    <t>Slovenia</t>
  </si>
  <si>
    <t>Solomon Islands</t>
  </si>
  <si>
    <t>Somalia</t>
  </si>
  <si>
    <t>South Africa</t>
  </si>
  <si>
    <t>Spain</t>
  </si>
  <si>
    <t>Sri Lanka</t>
  </si>
  <si>
    <t>Sudan</t>
  </si>
  <si>
    <t>Suriname</t>
  </si>
  <si>
    <t>Sweden</t>
  </si>
  <si>
    <t>Switzerland</t>
  </si>
  <si>
    <t>Syrian Arab Republic</t>
  </si>
  <si>
    <t>Tajikistan</t>
  </si>
  <si>
    <t>Tanzania (United Republic Of)</t>
  </si>
  <si>
    <t>Thailand</t>
  </si>
  <si>
    <t>Timor-Leste</t>
  </si>
  <si>
    <t>Togo</t>
  </si>
  <si>
    <t>Tonga</t>
  </si>
  <si>
    <t>Trinidad and Tobago</t>
  </si>
  <si>
    <t>Tunisia</t>
  </si>
  <si>
    <t>Turkey</t>
  </si>
  <si>
    <t>Uganda</t>
  </si>
  <si>
    <t>Ukraine</t>
  </si>
  <si>
    <t>United Arab Emirates</t>
  </si>
  <si>
    <t>United Kingdom</t>
  </si>
  <si>
    <t>United States</t>
  </si>
  <si>
    <t>Uruguay</t>
  </si>
  <si>
    <t>Uzbekistan</t>
  </si>
  <si>
    <t>Vanuatu</t>
  </si>
  <si>
    <t>Venezuela (Bolivarian Republic of)</t>
  </si>
  <si>
    <t>Vietnam</t>
  </si>
  <si>
    <t>Yemen</t>
  </si>
  <si>
    <t>3 % discount rate</t>
  </si>
  <si>
    <t>Draft 16 July 2022</t>
  </si>
  <si>
    <t>DALYs&gt;&gt;&gt;</t>
  </si>
  <si>
    <t>15-19</t>
  </si>
  <si>
    <t>20-24</t>
  </si>
  <si>
    <t>25-29</t>
  </si>
  <si>
    <t>30-34</t>
  </si>
  <si>
    <t>35-39</t>
  </si>
  <si>
    <t>40-44</t>
  </si>
  <si>
    <t>45-49</t>
  </si>
  <si>
    <t>50-54</t>
  </si>
  <si>
    <t>55-59</t>
  </si>
  <si>
    <t>60-64</t>
  </si>
  <si>
    <t>65+</t>
  </si>
  <si>
    <t>1.5 % discount rate</t>
  </si>
  <si>
    <t>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</si>
</sst>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53">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theme="1"/>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0"/>
      <color rgb="FF000000"/>
      <name val="Tahoma"/>
      <family val="2"/>
    </font>
    <font>
      <b/>
      <sz val="10"/>
      <color rgb="FF000000"/>
      <name val="Tahoma"/>
      <family val="2"/>
    </font>
    <font>
      <sz val="9.5"/>
      <color rgb="FF000000"/>
      <name val="Albany AMT"/>
    </font>
    <font>
      <u/>
      <sz val="11"/>
      <color theme="10"/>
      <name val="Calibri"/>
      <family val="2"/>
      <scheme val="minor"/>
    </font>
    <font>
      <u/>
      <sz val="11"/>
      <color theme="11"/>
      <name val="Calibri"/>
      <family val="2"/>
      <scheme val="minor"/>
    </font>
    <font>
      <sz val="11"/>
      <color theme="1"/>
      <name val="Arial"/>
      <family val="2"/>
    </font>
    <font>
      <sz val="20"/>
      <color theme="1"/>
      <name val="Arial"/>
      <family val="2"/>
    </font>
    <font>
      <sz val="11"/>
      <color theme="1"/>
      <name val="Helvetica"/>
      <family val="2"/>
    </font>
    <font>
      <sz val="12"/>
      <color theme="1"/>
      <name val="Arial"/>
      <family val="2"/>
    </font>
    <font>
      <sz val="12"/>
      <color rgb="FF000000"/>
      <name val="Arial"/>
      <family val="2"/>
    </font>
    <font>
      <b/>
      <sz val="9"/>
      <color rgb="FF000000"/>
      <name val="Calibri"/>
      <family val="2"/>
    </font>
    <font>
      <sz val="9"/>
      <color rgb="FF000000"/>
      <name val="Calibri"/>
      <family val="2"/>
    </font>
    <font>
      <b/>
      <sz val="12"/>
      <color theme="1"/>
      <name val="Arial"/>
      <family val="2"/>
    </font>
    <font>
      <sz val="24"/>
      <color theme="1"/>
      <name val="Helvetica"/>
      <family val="2"/>
    </font>
    <font>
      <sz val="14"/>
      <color theme="1"/>
      <name val="Helvetica"/>
      <family val="2"/>
    </font>
    <font>
      <b/>
      <sz val="14"/>
      <color theme="1"/>
      <name val="Helvetica"/>
      <family val="2"/>
    </font>
    <font>
      <i/>
      <sz val="14"/>
      <color theme="1"/>
      <name val="Helvetica"/>
      <family val="2"/>
    </font>
    <font>
      <b/>
      <sz val="12"/>
      <color rgb="FF000000"/>
      <name val="Arial"/>
      <family val="2"/>
    </font>
    <font>
      <sz val="10"/>
      <color rgb="FF000000"/>
      <name val="Calibri"/>
      <family val="2"/>
    </font>
    <font>
      <vertAlign val="subscript"/>
      <sz val="12"/>
      <color theme="1"/>
      <name val="Arial"/>
      <family val="2"/>
    </font>
    <font>
      <sz val="10"/>
      <color theme="1"/>
      <name val="Calibri"/>
      <family val="2"/>
      <scheme val="minor"/>
    </font>
    <font>
      <sz val="10"/>
      <color rgb="FF000000"/>
      <name val="Calibri"/>
      <family val="2"/>
      <scheme val="minor"/>
    </font>
    <font>
      <sz val="8"/>
      <name val="Calibri"/>
      <family val="2"/>
      <scheme val="minor"/>
    </font>
    <font>
      <sz val="20"/>
      <color theme="1"/>
      <name val="Calibri"/>
      <family val="2"/>
      <scheme val="minor"/>
    </font>
    <font>
      <i/>
      <sz val="10"/>
      <color rgb="FF000000"/>
      <name val="Calibri"/>
      <family val="2"/>
    </font>
    <font>
      <sz val="10"/>
      <color theme="1"/>
      <name val="Arial"/>
      <family val="2"/>
    </font>
    <font>
      <sz val="12"/>
      <color rgb="FF000000"/>
      <name val="Calibri"/>
      <family val="2"/>
      <scheme val="minor"/>
    </font>
    <font>
      <sz val="11"/>
      <name val="Arial"/>
      <family val="2"/>
    </font>
    <font>
      <sz val="9"/>
      <color indexed="81"/>
      <name val="Tahoma"/>
      <family val="2"/>
    </font>
    <font>
      <b/>
      <sz val="9"/>
      <color indexed="81"/>
      <name val="Tahoma"/>
      <family val="2"/>
    </font>
    <font>
      <b/>
      <sz val="10"/>
      <color theme="1"/>
      <name val="Calibri"/>
      <family val="2"/>
      <scheme val="minor"/>
    </font>
    <font>
      <b/>
      <i/>
      <sz val="10"/>
      <color theme="1"/>
      <name val="Calibri"/>
      <family val="2"/>
      <scheme val="minor"/>
    </font>
    <font>
      <sz val="16"/>
      <color theme="1"/>
      <name val="Helvetica"/>
      <family val="2"/>
    </font>
    <font>
      <sz val="14"/>
      <color theme="1"/>
      <name val="Calibri"/>
      <family val="2"/>
      <scheme val="minor"/>
    </font>
    <font>
      <b/>
      <sz val="16"/>
      <color theme="1"/>
      <name val="Helvetica"/>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72">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0" borderId="0"/>
    <xf numFmtId="0" fontId="20" fillId="0" borderId="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5"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17"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17"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17"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17"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17"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cellStyleXfs>
  <cellXfs count="51">
    <xf numFmtId="0" fontId="0" fillId="0" borderId="0" xfId="0"/>
    <xf numFmtId="0" fontId="23" fillId="0" borderId="0" xfId="0" applyFont="1"/>
    <xf numFmtId="0" fontId="24" fillId="0" borderId="0" xfId="0" applyFont="1"/>
    <xf numFmtId="0" fontId="23" fillId="34" borderId="0" xfId="0" applyFont="1" applyFill="1"/>
    <xf numFmtId="0" fontId="26" fillId="0" borderId="0" xfId="0" applyFont="1"/>
    <xf numFmtId="0" fontId="26" fillId="35" borderId="0" xfId="0" applyFont="1" applyFill="1"/>
    <xf numFmtId="0" fontId="27" fillId="0" borderId="0" xfId="0" applyFont="1" applyAlignment="1">
      <alignment wrapText="1"/>
    </xf>
    <xf numFmtId="164" fontId="26" fillId="0" borderId="0" xfId="0" applyNumberFormat="1" applyFont="1"/>
    <xf numFmtId="0" fontId="27" fillId="0" borderId="0" xfId="0" applyFont="1"/>
    <xf numFmtId="16" fontId="26" fillId="0" borderId="0" xfId="0" applyNumberFormat="1" applyFont="1"/>
    <xf numFmtId="0" fontId="30" fillId="0" borderId="0" xfId="6" applyFont="1" applyAlignment="1">
      <alignment horizontal="center" wrapText="1"/>
    </xf>
    <xf numFmtId="0" fontId="26" fillId="0" borderId="0" xfId="6" applyFont="1" applyAlignment="1">
      <alignment vertical="center"/>
    </xf>
    <xf numFmtId="0" fontId="25" fillId="36" borderId="0" xfId="0" applyFont="1" applyFill="1"/>
    <xf numFmtId="0" fontId="32" fillId="36" borderId="0" xfId="0" applyFont="1" applyFill="1"/>
    <xf numFmtId="3" fontId="32" fillId="36" borderId="10" xfId="0" applyNumberFormat="1" applyFont="1" applyFill="1" applyBorder="1"/>
    <xf numFmtId="3" fontId="33" fillId="36" borderId="10" xfId="0" applyNumberFormat="1" applyFont="1" applyFill="1" applyBorder="1"/>
    <xf numFmtId="0" fontId="34" fillId="36" borderId="0" xfId="0" applyFont="1" applyFill="1"/>
    <xf numFmtId="0" fontId="30" fillId="0" borderId="0" xfId="6" applyFont="1" applyAlignment="1">
      <alignment wrapText="1"/>
    </xf>
    <xf numFmtId="0" fontId="27" fillId="0" borderId="0" xfId="7" applyFont="1"/>
    <xf numFmtId="11" fontId="27" fillId="0" borderId="0" xfId="7" applyNumberFormat="1" applyFont="1"/>
    <xf numFmtId="11" fontId="26" fillId="0" borderId="0" xfId="6" applyNumberFormat="1" applyFont="1" applyAlignment="1">
      <alignment vertical="center"/>
    </xf>
    <xf numFmtId="0" fontId="35" fillId="0" borderId="0" xfId="7" applyFont="1"/>
    <xf numFmtId="0" fontId="30" fillId="0" borderId="0" xfId="6" applyFont="1"/>
    <xf numFmtId="0" fontId="26" fillId="0" borderId="0" xfId="6" applyFont="1"/>
    <xf numFmtId="0" fontId="26" fillId="34" borderId="0" xfId="0" applyFont="1" applyFill="1"/>
    <xf numFmtId="0" fontId="38" fillId="0" borderId="0" xfId="0" applyFont="1"/>
    <xf numFmtId="0" fontId="23" fillId="35" borderId="0" xfId="0" applyFont="1" applyFill="1"/>
    <xf numFmtId="3" fontId="25" fillId="36" borderId="0" xfId="0" applyNumberFormat="1" applyFont="1" applyFill="1"/>
    <xf numFmtId="0" fontId="26" fillId="0" borderId="0" xfId="0" applyFont="1" applyAlignment="1">
      <alignment horizontal="left"/>
    </xf>
    <xf numFmtId="0" fontId="23" fillId="0" borderId="0" xfId="0" applyFont="1" applyProtection="1">
      <protection locked="0"/>
    </xf>
    <xf numFmtId="0" fontId="26" fillId="0" borderId="0" xfId="0" applyFont="1" applyProtection="1">
      <protection locked="0"/>
    </xf>
    <xf numFmtId="3" fontId="26" fillId="0" borderId="0" xfId="0" applyNumberFormat="1" applyFont="1"/>
    <xf numFmtId="2" fontId="26" fillId="0" borderId="0" xfId="0" applyNumberFormat="1" applyFont="1"/>
    <xf numFmtId="3" fontId="43" fillId="35" borderId="0" xfId="0" applyNumberFormat="1" applyFont="1" applyFill="1"/>
    <xf numFmtId="2" fontId="23" fillId="35" borderId="0" xfId="0" applyNumberFormat="1" applyFont="1" applyFill="1"/>
    <xf numFmtId="3" fontId="26" fillId="35" borderId="0" xfId="0" applyNumberFormat="1" applyFont="1" applyFill="1"/>
    <xf numFmtId="0" fontId="41" fillId="0" borderId="0" xfId="0" applyFont="1"/>
    <xf numFmtId="0" fontId="45" fillId="35" borderId="0" xfId="0" applyFont="1" applyFill="1" applyProtection="1">
      <protection locked="0"/>
    </xf>
    <xf numFmtId="0" fontId="48" fillId="0" borderId="0" xfId="0" applyFont="1"/>
    <xf numFmtId="0" fontId="49" fillId="0" borderId="0" xfId="0" applyFont="1"/>
    <xf numFmtId="0" fontId="49" fillId="0" borderId="0" xfId="0" quotePrefix="1" applyFont="1"/>
    <xf numFmtId="0" fontId="38" fillId="33" borderId="0" xfId="0" applyFont="1" applyFill="1" applyAlignment="1">
      <alignment horizontal="left"/>
    </xf>
    <xf numFmtId="0" fontId="38" fillId="0" borderId="0" xfId="6" applyFont="1" applyAlignment="1">
      <alignment vertical="center"/>
    </xf>
    <xf numFmtId="3" fontId="32" fillId="36" borderId="0" xfId="0" applyNumberFormat="1" applyFont="1" applyFill="1"/>
    <xf numFmtId="0" fontId="25" fillId="0" borderId="0" xfId="0" applyFont="1"/>
    <xf numFmtId="0" fontId="50" fillId="36" borderId="0" xfId="0" applyFont="1" applyFill="1"/>
    <xf numFmtId="0" fontId="51" fillId="0" borderId="0" xfId="0" applyFont="1"/>
    <xf numFmtId="3" fontId="51" fillId="0" borderId="0" xfId="0" applyNumberFormat="1" applyFont="1"/>
    <xf numFmtId="0" fontId="52" fillId="35" borderId="0" xfId="0" applyFont="1" applyFill="1" applyProtection="1">
      <protection locked="0"/>
    </xf>
    <xf numFmtId="0" fontId="31" fillId="36" borderId="0" xfId="0" applyFont="1" applyFill="1" applyAlignment="1">
      <alignment wrapText="1"/>
    </xf>
    <xf numFmtId="0" fontId="0" fillId="0" borderId="0" xfId="0" applyAlignment="1">
      <alignment wrapText="1"/>
    </xf>
  </cellXfs>
  <cellStyles count="72">
    <cellStyle name="20% - Accent1 2" xfId="21" xr:uid="{00000000-0005-0000-0000-000000000000}"/>
    <cellStyle name="20% - Accent2 2" xfId="25" xr:uid="{00000000-0005-0000-0000-000001000000}"/>
    <cellStyle name="20% - Accent3 2" xfId="29" xr:uid="{00000000-0005-0000-0000-000002000000}"/>
    <cellStyle name="20% - Accent4 2" xfId="33" xr:uid="{00000000-0005-0000-0000-000003000000}"/>
    <cellStyle name="20% - Accent5 2" xfId="37" xr:uid="{00000000-0005-0000-0000-000004000000}"/>
    <cellStyle name="20% - Accent6 2" xfId="41" xr:uid="{00000000-0005-0000-0000-000005000000}"/>
    <cellStyle name="40% - Accent1 2" xfId="22" xr:uid="{00000000-0005-0000-0000-000006000000}"/>
    <cellStyle name="40% - Accent2 2" xfId="26" xr:uid="{00000000-0005-0000-0000-000007000000}"/>
    <cellStyle name="40% - Accent3 2" xfId="30" xr:uid="{00000000-0005-0000-0000-000008000000}"/>
    <cellStyle name="40% - Accent4 2" xfId="34" xr:uid="{00000000-0005-0000-0000-000009000000}"/>
    <cellStyle name="40% - Accent5 2" xfId="38" xr:uid="{00000000-0005-0000-0000-00000A000000}"/>
    <cellStyle name="40% - Accent6 2" xfId="42" xr:uid="{00000000-0005-0000-0000-00000B000000}"/>
    <cellStyle name="60% - Accent1 2" xfId="23" xr:uid="{00000000-0005-0000-0000-00000C000000}"/>
    <cellStyle name="60% - Accent2 2" xfId="27" xr:uid="{00000000-0005-0000-0000-00000D000000}"/>
    <cellStyle name="60% - Accent3 2" xfId="31" xr:uid="{00000000-0005-0000-0000-00000E000000}"/>
    <cellStyle name="60% - Accent4 2" xfId="35" xr:uid="{00000000-0005-0000-0000-00000F000000}"/>
    <cellStyle name="60% - Accent5 2" xfId="39" xr:uid="{00000000-0005-0000-0000-000010000000}"/>
    <cellStyle name="60% - Accent6 2" xfId="43" xr:uid="{00000000-0005-0000-0000-000011000000}"/>
    <cellStyle name="Accent1 2" xfId="20" xr:uid="{00000000-0005-0000-0000-000012000000}"/>
    <cellStyle name="Accent2 2" xfId="24" xr:uid="{00000000-0005-0000-0000-000013000000}"/>
    <cellStyle name="Accent3 2" xfId="28" xr:uid="{00000000-0005-0000-0000-000014000000}"/>
    <cellStyle name="Accent4 2" xfId="32" xr:uid="{00000000-0005-0000-0000-000015000000}"/>
    <cellStyle name="Accent5 2" xfId="36" xr:uid="{00000000-0005-0000-0000-000016000000}"/>
    <cellStyle name="Accent6 2" xfId="40" xr:uid="{00000000-0005-0000-0000-000017000000}"/>
    <cellStyle name="Bad 2" xfId="9" xr:uid="{00000000-0005-0000-0000-000018000000}"/>
    <cellStyle name="Calculation 2" xfId="13" xr:uid="{00000000-0005-0000-0000-000019000000}"/>
    <cellStyle name="Check Cell 2" xfId="15" xr:uid="{00000000-0005-0000-0000-00001A000000}"/>
    <cellStyle name="Explanatory Text 2" xfId="18" xr:uid="{00000000-0005-0000-0000-00001B000000}"/>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Good 2" xfId="8" xr:uid="{00000000-0005-0000-0000-00002A000000}"/>
    <cellStyle name="Heading 1" xfId="2" builtinId="16" customBuiltin="1"/>
    <cellStyle name="Heading 2" xfId="3" builtinId="17" customBuiltin="1"/>
    <cellStyle name="Heading 3" xfId="4" builtinId="18" customBuiltin="1"/>
    <cellStyle name="Heading 4" xfId="5" builtinId="19" customBuilti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Input 2" xfId="11" xr:uid="{00000000-0005-0000-0000-00003E000000}"/>
    <cellStyle name="Linked Cell 2" xfId="14" xr:uid="{00000000-0005-0000-0000-00003F000000}"/>
    <cellStyle name="Neutral 2" xfId="10" xr:uid="{00000000-0005-0000-0000-000040000000}"/>
    <cellStyle name="Normal" xfId="0" builtinId="0"/>
    <cellStyle name="Normal 2" xfId="6" xr:uid="{00000000-0005-0000-0000-000042000000}"/>
    <cellStyle name="Normal 3" xfId="7" xr:uid="{00000000-0005-0000-0000-000043000000}"/>
    <cellStyle name="Note 2" xfId="17" xr:uid="{00000000-0005-0000-0000-000044000000}"/>
    <cellStyle name="Output 2" xfId="12" xr:uid="{00000000-0005-0000-0000-000045000000}"/>
    <cellStyle name="Title" xfId="1" builtinId="15" customBuiltin="1"/>
    <cellStyle name="Total 2" xfId="19" xr:uid="{00000000-0005-0000-0000-000047000000}"/>
    <cellStyle name="Warning Text 2" xfId="16" xr:uid="{00000000-0005-0000-0000-000048000000}"/>
  </cellStyles>
  <dxfs count="0"/>
  <tableStyles count="0" defaultTableStyle="TableStyleMedium2" defaultPivotStyle="PivotStyleLight16"/>
  <colors>
    <mruColors>
      <color rgb="FFA8D0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Dietary!A1"/><Relationship Id="rId2" Type="http://schemas.openxmlformats.org/officeDocument/2006/relationships/image" Target="../media/image1.png"/><Relationship Id="rId1" Type="http://schemas.openxmlformats.org/officeDocument/2006/relationships/hyperlink" Target="#Water!A1"/><Relationship Id="rId5" Type="http://schemas.openxmlformats.org/officeDocument/2006/relationships/hyperlink" Target="#Dust!A1"/><Relationship Id="rId4" Type="http://schemas.openxmlformats.org/officeDocument/2006/relationships/hyperlink" Target="#Soil!A1"/></Relationships>
</file>

<file path=xl/drawings/_rels/drawing2.xml.rels><?xml version="1.0" encoding="UTF-8" standalone="yes"?>
<Relationships xmlns="http://schemas.openxmlformats.org/package/2006/relationships"><Relationship Id="rId1" Type="http://schemas.openxmlformats.org/officeDocument/2006/relationships/hyperlink" Target="#Summary!A1"/></Relationships>
</file>

<file path=xl/drawings/_rels/drawing3.xml.rels><?xml version="1.0" encoding="UTF-8" standalone="yes"?>
<Relationships xmlns="http://schemas.openxmlformats.org/package/2006/relationships"><Relationship Id="rId1" Type="http://schemas.openxmlformats.org/officeDocument/2006/relationships/hyperlink" Target="#Summary!A1"/></Relationships>
</file>

<file path=xl/drawings/_rels/drawing4.xml.rels><?xml version="1.0" encoding="UTF-8" standalone="yes"?>
<Relationships xmlns="http://schemas.openxmlformats.org/package/2006/relationships"><Relationship Id="rId1" Type="http://schemas.openxmlformats.org/officeDocument/2006/relationships/hyperlink" Target="#Summary!A1"/></Relationships>
</file>

<file path=xl/drawings/_rels/drawing5.xml.rels><?xml version="1.0" encoding="UTF-8" standalone="yes"?>
<Relationships xmlns="http://schemas.openxmlformats.org/package/2006/relationships"><Relationship Id="rId1" Type="http://schemas.openxmlformats.org/officeDocument/2006/relationships/hyperlink" Target="#Summary!A1"/></Relationships>
</file>

<file path=xl/drawings/drawing1.xml><?xml version="1.0" encoding="utf-8"?>
<xdr:wsDr xmlns:xdr="http://schemas.openxmlformats.org/drawingml/2006/spreadsheetDrawing" xmlns:a="http://schemas.openxmlformats.org/drawingml/2006/main">
  <xdr:twoCellAnchor>
    <xdr:from>
      <xdr:col>2</xdr:col>
      <xdr:colOff>363893</xdr:colOff>
      <xdr:row>15</xdr:row>
      <xdr:rowOff>46541</xdr:rowOff>
    </xdr:from>
    <xdr:to>
      <xdr:col>2</xdr:col>
      <xdr:colOff>1446244</xdr:colOff>
      <xdr:row>17</xdr:row>
      <xdr:rowOff>164840</xdr:rowOff>
    </xdr:to>
    <xdr:sp macro="" textlink="">
      <xdr:nvSpPr>
        <xdr:cNvPr id="8" name="Rectangle 7">
          <a:hlinkClick xmlns:r="http://schemas.openxmlformats.org/officeDocument/2006/relationships" r:id="rId1"/>
          <a:extLst>
            <a:ext uri="{FF2B5EF4-FFF2-40B4-BE49-F238E27FC236}">
              <a16:creationId xmlns:a16="http://schemas.microsoft.com/office/drawing/2014/main" id="{6F8BE1F5-6FD8-E24A-8BA6-628F1B844F45}"/>
            </a:ext>
          </a:extLst>
        </xdr:cNvPr>
        <xdr:cNvSpPr/>
      </xdr:nvSpPr>
      <xdr:spPr>
        <a:xfrm>
          <a:off x="1900334" y="3371349"/>
          <a:ext cx="1082351" cy="57860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a:latin typeface="Helvetica" pitchFamily="2" charset="0"/>
            </a:rPr>
            <a:t>Water</a:t>
          </a:r>
        </a:p>
      </xdr:txBody>
    </xdr:sp>
    <xdr:clientData/>
  </xdr:twoCellAnchor>
  <xdr:twoCellAnchor editAs="oneCell">
    <xdr:from>
      <xdr:col>1</xdr:col>
      <xdr:colOff>64654</xdr:colOff>
      <xdr:row>2</xdr:row>
      <xdr:rowOff>48492</xdr:rowOff>
    </xdr:from>
    <xdr:to>
      <xdr:col>2</xdr:col>
      <xdr:colOff>202556</xdr:colOff>
      <xdr:row>8</xdr:row>
      <xdr:rowOff>31462</xdr:rowOff>
    </xdr:to>
    <xdr:pic>
      <xdr:nvPicPr>
        <xdr:cNvPr id="2" name="Picture 1">
          <a:extLst>
            <a:ext uri="{FF2B5EF4-FFF2-40B4-BE49-F238E27FC236}">
              <a16:creationId xmlns:a16="http://schemas.microsoft.com/office/drawing/2014/main" id="{0402C9C5-D9C8-084E-87A3-8688264D278D}"/>
            </a:ext>
          </a:extLst>
        </xdr:cNvPr>
        <xdr:cNvPicPr>
          <a:picLocks noChangeAspect="1"/>
        </xdr:cNvPicPr>
      </xdr:nvPicPr>
      <xdr:blipFill>
        <a:blip xmlns:r="http://schemas.openxmlformats.org/officeDocument/2006/relationships" r:embed="rId2"/>
        <a:stretch>
          <a:fillRect/>
        </a:stretch>
      </xdr:blipFill>
      <xdr:spPr>
        <a:xfrm>
          <a:off x="895927" y="637310"/>
          <a:ext cx="965999" cy="1163782"/>
        </a:xfrm>
        <a:prstGeom prst="rect">
          <a:avLst/>
        </a:prstGeom>
      </xdr:spPr>
    </xdr:pic>
    <xdr:clientData/>
  </xdr:twoCellAnchor>
  <xdr:twoCellAnchor>
    <xdr:from>
      <xdr:col>1</xdr:col>
      <xdr:colOff>24881</xdr:colOff>
      <xdr:row>15</xdr:row>
      <xdr:rowOff>37850</xdr:rowOff>
    </xdr:from>
    <xdr:to>
      <xdr:col>2</xdr:col>
      <xdr:colOff>289208</xdr:colOff>
      <xdr:row>17</xdr:row>
      <xdr:rowOff>150892</xdr:rowOff>
    </xdr:to>
    <xdr:sp macro="" textlink="">
      <xdr:nvSpPr>
        <xdr:cNvPr id="3" name="Rectangle 2">
          <a:hlinkClick xmlns:r="http://schemas.openxmlformats.org/officeDocument/2006/relationships" r:id="rId3"/>
          <a:extLst>
            <a:ext uri="{FF2B5EF4-FFF2-40B4-BE49-F238E27FC236}">
              <a16:creationId xmlns:a16="http://schemas.microsoft.com/office/drawing/2014/main" id="{6017BB3D-1B85-0745-89A1-44462C7E9D7C}"/>
            </a:ext>
          </a:extLst>
        </xdr:cNvPr>
        <xdr:cNvSpPr/>
      </xdr:nvSpPr>
      <xdr:spPr>
        <a:xfrm>
          <a:off x="793102" y="3362658"/>
          <a:ext cx="1032547" cy="5733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a:latin typeface="Helvetica" pitchFamily="2" charset="0"/>
            </a:rPr>
            <a:t>Dietary</a:t>
          </a:r>
        </a:p>
      </xdr:txBody>
    </xdr:sp>
    <xdr:clientData/>
  </xdr:twoCellAnchor>
  <xdr:twoCellAnchor>
    <xdr:from>
      <xdr:col>1</xdr:col>
      <xdr:colOff>24718</xdr:colOff>
      <xdr:row>17</xdr:row>
      <xdr:rowOff>218423</xdr:rowOff>
    </xdr:from>
    <xdr:to>
      <xdr:col>2</xdr:col>
      <xdr:colOff>301782</xdr:colOff>
      <xdr:row>20</xdr:row>
      <xdr:rowOff>100593</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DCDD34EA-54E8-7E43-9FC4-44947102F5F9}"/>
            </a:ext>
          </a:extLst>
        </xdr:cNvPr>
        <xdr:cNvSpPr/>
      </xdr:nvSpPr>
      <xdr:spPr>
        <a:xfrm>
          <a:off x="854619" y="4141591"/>
          <a:ext cx="1106965" cy="59890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a:latin typeface="Helvetica" pitchFamily="2" charset="0"/>
            </a:rPr>
            <a:t>Soil</a:t>
          </a:r>
        </a:p>
      </xdr:txBody>
    </xdr:sp>
    <xdr:clientData/>
  </xdr:twoCellAnchor>
  <xdr:twoCellAnchor>
    <xdr:from>
      <xdr:col>2</xdr:col>
      <xdr:colOff>365732</xdr:colOff>
      <xdr:row>17</xdr:row>
      <xdr:rowOff>219932</xdr:rowOff>
    </xdr:from>
    <xdr:to>
      <xdr:col>2</xdr:col>
      <xdr:colOff>1446245</xdr:colOff>
      <xdr:row>20</xdr:row>
      <xdr:rowOff>99527</xdr:rowOff>
    </xdr:to>
    <xdr:sp macro="" textlink="">
      <xdr:nvSpPr>
        <xdr:cNvPr id="11" name="Rectangle 10">
          <a:hlinkClick xmlns:r="http://schemas.openxmlformats.org/officeDocument/2006/relationships" r:id="rId5"/>
          <a:extLst>
            <a:ext uri="{FF2B5EF4-FFF2-40B4-BE49-F238E27FC236}">
              <a16:creationId xmlns:a16="http://schemas.microsoft.com/office/drawing/2014/main" id="{B1B76B97-3F72-1143-8E5F-586233E052FF}"/>
            </a:ext>
          </a:extLst>
        </xdr:cNvPr>
        <xdr:cNvSpPr/>
      </xdr:nvSpPr>
      <xdr:spPr>
        <a:xfrm>
          <a:off x="1902173" y="4005050"/>
          <a:ext cx="1080513" cy="5700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a:latin typeface="Helvetica" pitchFamily="2" charset="0"/>
            </a:rPr>
            <a:t>Dust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21772</xdr:colOff>
      <xdr:row>0</xdr:row>
      <xdr:rowOff>0</xdr:rowOff>
    </xdr:from>
    <xdr:to>
      <xdr:col>6</xdr:col>
      <xdr:colOff>957943</xdr:colOff>
      <xdr:row>1</xdr:row>
      <xdr:rowOff>12700</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B32A1814-F78C-2749-B30B-03265469BC7D}"/>
            </a:ext>
          </a:extLst>
        </xdr:cNvPr>
        <xdr:cNvSpPr/>
      </xdr:nvSpPr>
      <xdr:spPr>
        <a:xfrm>
          <a:off x="4959532" y="0"/>
          <a:ext cx="1654628" cy="33056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a:latin typeface="Helvetica" pitchFamily="2" charset="0"/>
            </a:rPr>
            <a:t>Back</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13063</xdr:colOff>
      <xdr:row>0</xdr:row>
      <xdr:rowOff>0</xdr:rowOff>
    </xdr:from>
    <xdr:to>
      <xdr:col>2</xdr:col>
      <xdr:colOff>1136106</xdr:colOff>
      <xdr:row>0</xdr:row>
      <xdr:rowOff>355600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63C51A59-484B-E241-BF8D-1B548ABEF094}"/>
            </a:ext>
          </a:extLst>
        </xdr:cNvPr>
        <xdr:cNvSpPr/>
      </xdr:nvSpPr>
      <xdr:spPr>
        <a:xfrm>
          <a:off x="3622766" y="0"/>
          <a:ext cx="1123043" cy="355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a:latin typeface="Helvetica" pitchFamily="2" charset="0"/>
            </a:rPr>
            <a:t>Back</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62204</xdr:colOff>
      <xdr:row>0</xdr:row>
      <xdr:rowOff>0</xdr:rowOff>
    </xdr:from>
    <xdr:to>
      <xdr:col>4</xdr:col>
      <xdr:colOff>746449</xdr:colOff>
      <xdr:row>1</xdr:row>
      <xdr:rowOff>10160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23C682B7-1E39-7747-ADC8-C3EEA11B9267}"/>
            </a:ext>
          </a:extLst>
        </xdr:cNvPr>
        <xdr:cNvSpPr/>
      </xdr:nvSpPr>
      <xdr:spPr>
        <a:xfrm>
          <a:off x="4136571" y="0"/>
          <a:ext cx="684245" cy="32895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a:latin typeface="Helvetica" pitchFamily="2" charset="0"/>
            </a:rPr>
            <a:t>Back</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130629</xdr:colOff>
      <xdr:row>0</xdr:row>
      <xdr:rowOff>0</xdr:rowOff>
    </xdr:from>
    <xdr:to>
      <xdr:col>6</xdr:col>
      <xdr:colOff>773611</xdr:colOff>
      <xdr:row>1</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A3341031-8C56-F14B-ACB4-0B4B9E0F04FB}"/>
            </a:ext>
          </a:extLst>
        </xdr:cNvPr>
        <xdr:cNvSpPr/>
      </xdr:nvSpPr>
      <xdr:spPr>
        <a:xfrm>
          <a:off x="3505200" y="0"/>
          <a:ext cx="1505131" cy="3309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a:latin typeface="Helvetica" pitchFamily="2" charset="0"/>
            </a:rPr>
            <a:t>Back</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Pure%20Earth/Desktop/EN_drinking%20water_cancer_dele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IS Ref"/>
      <sheetName val="Comparison of list"/>
    </sheetNames>
    <sheetDataSet>
      <sheetData sheetId="0" refreshError="1"/>
      <sheetData sheetId="1" refreshError="1">
        <row r="1">
          <cell r="A1" t="str">
            <v>Acrylonitrile</v>
          </cell>
          <cell r="B1" t="str">
            <v>Acetic acid</v>
          </cell>
        </row>
        <row r="2">
          <cell r="A2" t="str">
            <v>Aldrin</v>
          </cell>
          <cell r="B2" t="str">
            <v>Alachlor</v>
          </cell>
        </row>
        <row r="3">
          <cell r="A3" t="str">
            <v>Aniline</v>
          </cell>
          <cell r="B3" t="str">
            <v>Aldrin</v>
          </cell>
        </row>
        <row r="4">
          <cell r="A4" t="str">
            <v>Aramite</v>
          </cell>
          <cell r="B4" t="str">
            <v>Anthracene</v>
          </cell>
        </row>
        <row r="5">
          <cell r="A5" t="str">
            <v>Arsenic</v>
          </cell>
          <cell r="B5" t="str">
            <v>Arsenic</v>
          </cell>
        </row>
        <row r="6">
          <cell r="A6" t="str">
            <v>Azobenzene</v>
          </cell>
          <cell r="B6" t="str">
            <v>Asbestos</v>
          </cell>
        </row>
        <row r="7">
          <cell r="A7" t="str">
            <v>Benzene</v>
          </cell>
          <cell r="B7" t="str">
            <v>Atrazine</v>
          </cell>
        </row>
        <row r="8">
          <cell r="A8" t="str">
            <v>Benzene</v>
          </cell>
          <cell r="B8" t="str">
            <v>Benz[a]anthracene</v>
          </cell>
        </row>
        <row r="9">
          <cell r="A9" t="str">
            <v>Benzidine</v>
          </cell>
          <cell r="B9" t="str">
            <v>Benzene</v>
          </cell>
        </row>
        <row r="10">
          <cell r="A10" t="str">
            <v>Benzotrichloride</v>
          </cell>
          <cell r="B10" t="str">
            <v>Benzo(a)pyrene</v>
          </cell>
        </row>
        <row r="11">
          <cell r="A11" t="str">
            <v>Benzyl chloride</v>
          </cell>
          <cell r="B11" t="str">
            <v>Benzo[e]pyrene</v>
          </cell>
        </row>
        <row r="12">
          <cell r="A12" t="str">
            <v>Biphenyl</v>
          </cell>
          <cell r="B12" t="str">
            <v>Bromacil</v>
          </cell>
        </row>
        <row r="13">
          <cell r="A13" t="str">
            <v>Bis(chloroethyl)ether (BCEE)</v>
          </cell>
          <cell r="B13" t="str">
            <v>Bromodichloromethane</v>
          </cell>
        </row>
        <row r="14">
          <cell r="A14" t="str">
            <v>Bis(chloromethyl)ether (BCME)</v>
          </cell>
          <cell r="B14" t="str">
            <v>Bromoform</v>
          </cell>
        </row>
        <row r="15">
          <cell r="A15" t="str">
            <v>Bromate</v>
          </cell>
          <cell r="B15" t="str">
            <v>Cadmium</v>
          </cell>
        </row>
        <row r="16">
          <cell r="A16" t="str">
            <v>Bromodichloromethane</v>
          </cell>
          <cell r="B16" t="str">
            <v>Carbamates not otherwise specified</v>
          </cell>
        </row>
        <row r="17">
          <cell r="A17" t="str">
            <v>Bromoform</v>
          </cell>
          <cell r="B17" t="str">
            <v>Carbaryl</v>
          </cell>
        </row>
        <row r="18">
          <cell r="A18" t="str">
            <v>Carbon tetrachloride</v>
          </cell>
          <cell r="B18" t="str">
            <v>Carbofuram</v>
          </cell>
        </row>
        <row r="19">
          <cell r="A19" t="str">
            <v>Chlordane</v>
          </cell>
          <cell r="B19" t="str">
            <v>Carbon tetrachloride</v>
          </cell>
        </row>
        <row r="20">
          <cell r="A20" t="str">
            <v>Chlordecone (Kepone)</v>
          </cell>
          <cell r="B20" t="str">
            <v>Chlordane</v>
          </cell>
        </row>
        <row r="21">
          <cell r="A21" t="str">
            <v>2,2',3,3',4,4',5,5',6,6'-Decabromodiphenyl ether (BDE-209)</v>
          </cell>
          <cell r="B21" t="str">
            <v>Chlorineorganic pesticides</v>
          </cell>
        </row>
        <row r="22">
          <cell r="A22" t="str">
            <v>Di (2-ethylhexyl)phthalate (DEHP)</v>
          </cell>
          <cell r="B22" t="str">
            <v>Chlorobenzene</v>
          </cell>
        </row>
        <row r="23">
          <cell r="A23" t="str">
            <v>Di(2-ethylhexyl)adipate</v>
          </cell>
          <cell r="B23" t="str">
            <v>Chloroform (THM)</v>
          </cell>
        </row>
        <row r="24">
          <cell r="A24" t="str">
            <v>Dibromochloromethane</v>
          </cell>
          <cell r="B24" t="str">
            <v xml:space="preserve">Chloromethane </v>
          </cell>
        </row>
        <row r="25">
          <cell r="A25" t="str">
            <v>1,2-Dibromoethane</v>
          </cell>
          <cell r="B25" t="str">
            <v xml:space="preserve">Chlorotoluene </v>
          </cell>
        </row>
        <row r="26">
          <cell r="A26" t="str">
            <v>Dichloroacetic acid</v>
          </cell>
          <cell r="B26" t="str">
            <v>Chromium (Hex)</v>
          </cell>
        </row>
        <row r="27">
          <cell r="A27" t="str">
            <v>3,3'-Dichlorobenzidine</v>
          </cell>
          <cell r="B27" t="str">
            <v>Chromium (Total)</v>
          </cell>
        </row>
        <row r="28">
          <cell r="A28" t="str">
            <v>p,p'-Dichlorodiphenyl dichloroethane (DDD)</v>
          </cell>
          <cell r="B28" t="str">
            <v>Chrysene</v>
          </cell>
        </row>
        <row r="29">
          <cell r="A29" t="str">
            <v>p,p'-Dichlorodiphenyldichloroethylene (DDE)</v>
          </cell>
          <cell r="B29" t="str">
            <v>Coal Dust</v>
          </cell>
        </row>
        <row r="30">
          <cell r="A30" t="str">
            <v>DDT</v>
          </cell>
          <cell r="B30" t="str">
            <v>Confidor</v>
          </cell>
        </row>
        <row r="31">
          <cell r="A31" t="str">
            <v>1,2-Dichloroethane</v>
          </cell>
          <cell r="B31" t="str">
            <v>Coronene</v>
          </cell>
        </row>
        <row r="32">
          <cell r="A32" t="str">
            <v>1,3-Dichloropropene</v>
          </cell>
          <cell r="B32" t="str">
            <v>Cyanide</v>
          </cell>
        </row>
        <row r="33">
          <cell r="A33" t="str">
            <v>1,3-Dichloropropene</v>
          </cell>
          <cell r="B33" t="str">
            <v>Cyazine</v>
          </cell>
        </row>
        <row r="34">
          <cell r="A34" t="str">
            <v>1,3-Dichloropropene</v>
          </cell>
          <cell r="B34" t="str">
            <v>Cyclo-hexane</v>
          </cell>
        </row>
        <row r="35">
          <cell r="A35" t="str">
            <v>Dichlorvos</v>
          </cell>
          <cell r="B35" t="str">
            <v>DDT</v>
          </cell>
        </row>
        <row r="36">
          <cell r="A36" t="str">
            <v>Dieldrin</v>
          </cell>
          <cell r="B36" t="str">
            <v xml:space="preserve">Dichlorobenzene </v>
          </cell>
        </row>
        <row r="37">
          <cell r="A37" t="str">
            <v>2,4-/2,6-Dinitrotoluene mixture</v>
          </cell>
          <cell r="B37" t="str">
            <v>Dichloroethane</v>
          </cell>
        </row>
        <row r="38">
          <cell r="A38" t="str">
            <v>1,4-Dioxane</v>
          </cell>
          <cell r="B38" t="str">
            <v xml:space="preserve">Dichloroethylene </v>
          </cell>
        </row>
        <row r="39">
          <cell r="A39" t="str">
            <v>1,2-Diphenylhydrazine</v>
          </cell>
          <cell r="B39" t="str">
            <v>Dichloromethane</v>
          </cell>
        </row>
        <row r="40">
          <cell r="A40" t="str">
            <v>Epichlorohydrin</v>
          </cell>
          <cell r="B40" t="str">
            <v>Dieldrin</v>
          </cell>
        </row>
        <row r="41">
          <cell r="A41" t="str">
            <v>Furmecyclox</v>
          </cell>
          <cell r="B41" t="str">
            <v>Dimethoate</v>
          </cell>
        </row>
        <row r="42">
          <cell r="A42" t="str">
            <v>Heptachlor</v>
          </cell>
          <cell r="B42" t="str">
            <v>Dioxins</v>
          </cell>
        </row>
        <row r="43">
          <cell r="A43" t="str">
            <v>Heptachlor epoxide</v>
          </cell>
          <cell r="B43" t="str">
            <v>Endosulfan</v>
          </cell>
        </row>
        <row r="44">
          <cell r="A44" t="str">
            <v>Hexachlorobenzene</v>
          </cell>
          <cell r="B44" t="str">
            <v>Endrin</v>
          </cell>
        </row>
        <row r="45">
          <cell r="A45" t="str">
            <v>Hexachlorobutadiene</v>
          </cell>
          <cell r="B45" t="str">
            <v>Ethylbenzene</v>
          </cell>
        </row>
        <row r="46">
          <cell r="A46" t="str">
            <v>alpha-Hexachlorocyclohexane (alpha-HCH)</v>
          </cell>
          <cell r="B46" t="str">
            <v xml:space="preserve">Fenitrothion </v>
          </cell>
        </row>
        <row r="47">
          <cell r="A47" t="str">
            <v>beta-Hexachlorocyclohexane (beta-HCH)</v>
          </cell>
          <cell r="B47" t="str">
            <v>Fipronil</v>
          </cell>
        </row>
        <row r="48">
          <cell r="A48" t="str">
            <v>technical Hexachlorocyclohexane (t-HCH)</v>
          </cell>
          <cell r="B48" t="str">
            <v>Fluorides</v>
          </cell>
        </row>
        <row r="49">
          <cell r="A49" t="str">
            <v>Hexachlorodibenzo-p-dioxin (HxCDD), mixture of 1,2,3,6,7,8-HxCDD and 1,2,3,7,8,9-HxCDD</v>
          </cell>
          <cell r="B49" t="str">
            <v>Formaldehyde</v>
          </cell>
        </row>
        <row r="50">
          <cell r="A50" t="str">
            <v>Hexachloroethane</v>
          </cell>
          <cell r="B50" t="str">
            <v xml:space="preserve">Furan (carbofuran) </v>
          </cell>
        </row>
        <row r="51">
          <cell r="A51" t="str">
            <v>Hydrazine/Hydrazine sulfate</v>
          </cell>
          <cell r="B51" t="str">
            <v>Glyphosate</v>
          </cell>
        </row>
        <row r="52">
          <cell r="A52" t="str">
            <v>Isophorone</v>
          </cell>
          <cell r="B52" t="str">
            <v>Heptachlor</v>
          </cell>
        </row>
        <row r="53">
          <cell r="A53" t="str">
            <v>4,4'-Methylene bis(N,N'-dimethyl)aniline</v>
          </cell>
          <cell r="B53" t="str">
            <v>Hexachlorobenzene (Benzene Hexachloride)</v>
          </cell>
        </row>
        <row r="54">
          <cell r="A54" t="str">
            <v>N-Nitroso-N-methylethylamine</v>
          </cell>
          <cell r="B54" t="str">
            <v>Hexane</v>
          </cell>
        </row>
        <row r="55">
          <cell r="A55" t="str">
            <v>N-Nitroso-di-n-butylamine</v>
          </cell>
          <cell r="B55" t="str">
            <v>Lead</v>
          </cell>
        </row>
        <row r="56">
          <cell r="A56" t="str">
            <v>N-Nitrosodi-N-propylamine</v>
          </cell>
          <cell r="B56" t="str">
            <v>Lindane (Gamma Hexachlorocyclohexane all forms)</v>
          </cell>
        </row>
        <row r="57">
          <cell r="A57" t="str">
            <v>N-Nitrosodiethanolamine</v>
          </cell>
          <cell r="B57" t="str">
            <v>Malathion</v>
          </cell>
        </row>
        <row r="58">
          <cell r="A58" t="str">
            <v>N-Nitrosodiethylamine</v>
          </cell>
          <cell r="B58" t="str">
            <v>Mancozeb</v>
          </cell>
        </row>
        <row r="59">
          <cell r="A59" t="str">
            <v>N-Nitrosodimethylamine</v>
          </cell>
          <cell r="B59" t="str">
            <v>Mercury - elemental</v>
          </cell>
        </row>
        <row r="60">
          <cell r="A60" t="str">
            <v>N-Nitrosodiphenylamine</v>
          </cell>
          <cell r="B60" t="str">
            <v>Mercury - inorganic</v>
          </cell>
        </row>
        <row r="61">
          <cell r="A61" t="str">
            <v>N-Nitrosopyrrolidine</v>
          </cell>
          <cell r="B61" t="str">
            <v>Mercury - organic</v>
          </cell>
        </row>
        <row r="62">
          <cell r="A62" t="str">
            <v>Pentachlorophenol</v>
          </cell>
          <cell r="B62" t="str">
            <v>Methyl Bromide</v>
          </cell>
        </row>
        <row r="63">
          <cell r="A63" t="str">
            <v>Prochloraz</v>
          </cell>
          <cell r="B63" t="str">
            <v>Methyl Parathion</v>
          </cell>
        </row>
        <row r="64">
          <cell r="A64" t="str">
            <v>Propylene oxide</v>
          </cell>
          <cell r="B64" t="str">
            <v>Methylparathion</v>
          </cell>
        </row>
        <row r="65">
          <cell r="A65" t="str">
            <v>Quinoline</v>
          </cell>
          <cell r="B65" t="str">
            <v>Metolachlor</v>
          </cell>
        </row>
        <row r="66">
          <cell r="A66" t="str">
            <v>1,1,1,2-Tetrachloroethane</v>
          </cell>
          <cell r="B66" t="str">
            <v>Mirex</v>
          </cell>
        </row>
        <row r="67">
          <cell r="A67" t="str">
            <v>1,1,2,2-Tetrachloroethane</v>
          </cell>
          <cell r="B67" t="str">
            <v>Mononitrochlorobenzene</v>
          </cell>
        </row>
        <row r="68">
          <cell r="A68" t="str">
            <v>Tetrachloroethylene</v>
          </cell>
          <cell r="B68" t="str">
            <v>Napthtalene</v>
          </cell>
        </row>
        <row r="69">
          <cell r="A69" t="str">
            <v>Toxaphene</v>
          </cell>
          <cell r="B69" t="str">
            <v>Organochlorine not otherwise specified</v>
          </cell>
        </row>
        <row r="70">
          <cell r="A70" t="str">
            <v>Trichloroacetic acid</v>
          </cell>
          <cell r="B70" t="str">
            <v>Organophosphate not otherwise specified</v>
          </cell>
        </row>
        <row r="71">
          <cell r="A71" t="str">
            <v>1,1,2-Trichloroethane</v>
          </cell>
          <cell r="B71" t="str">
            <v>Other</v>
          </cell>
        </row>
        <row r="72">
          <cell r="A72" t="str">
            <v>2,4,6-Trichlorophenol</v>
          </cell>
          <cell r="B72" t="str">
            <v>PAH (Total)</v>
          </cell>
        </row>
        <row r="73">
          <cell r="A73" t="str">
            <v>Trifluralin</v>
          </cell>
          <cell r="B73" t="str">
            <v xml:space="preserve">Parathion </v>
          </cell>
        </row>
        <row r="74">
          <cell r="A74" t="str">
            <v>2,4,6-Trinitrotoluene (TNT)</v>
          </cell>
          <cell r="B74" t="str">
            <v>PBDEs (Polybrominated diphenyl ethers)</v>
          </cell>
        </row>
        <row r="75">
          <cell r="A75" t="str">
            <v>Vinyl chloride</v>
          </cell>
          <cell r="B75" t="str">
            <v>PCBs (PolyChlorinated Biphenyls)</v>
          </cell>
        </row>
        <row r="76">
          <cell r="A76" t="str">
            <v>Vinyl chloride</v>
          </cell>
          <cell r="B76" t="str">
            <v>Perchloroethylene (PCE)</v>
          </cell>
        </row>
        <row r="77">
          <cell r="A77" t="str">
            <v>Vinyl chloride</v>
          </cell>
          <cell r="B77" t="str">
            <v>Pesticides (Total)</v>
          </cell>
        </row>
        <row r="78">
          <cell r="B78" t="str">
            <v>Petrol/gasoline</v>
          </cell>
        </row>
        <row r="79">
          <cell r="B79" t="str">
            <v>Phenol</v>
          </cell>
        </row>
        <row r="80">
          <cell r="B80" t="str">
            <v>PM 10</v>
          </cell>
        </row>
        <row r="81">
          <cell r="B81" t="str">
            <v>PM 2.5</v>
          </cell>
        </row>
        <row r="82">
          <cell r="B82" t="str">
            <v>Radionuclides</v>
          </cell>
        </row>
        <row r="83">
          <cell r="B83" t="str">
            <v>Simazine</v>
          </cell>
        </row>
        <row r="84">
          <cell r="B84" t="str">
            <v>Sulfur Dioxide</v>
          </cell>
        </row>
        <row r="85">
          <cell r="B85" t="str">
            <v>Tetrachloroethane</v>
          </cell>
        </row>
        <row r="86">
          <cell r="B86" t="str">
            <v>Total Suspesnded Particulate (TSP)</v>
          </cell>
        </row>
        <row r="87">
          <cell r="B87" t="str">
            <v xml:space="preserve">Total Trihalomethanes </v>
          </cell>
        </row>
        <row r="88">
          <cell r="B88" t="str">
            <v xml:space="preserve">Total Xylenes </v>
          </cell>
        </row>
        <row r="89">
          <cell r="B89" t="str">
            <v>Toxaphene</v>
          </cell>
        </row>
        <row r="90">
          <cell r="B90" t="str">
            <v xml:space="preserve">Trichloroethylene (TCE) </v>
          </cell>
        </row>
        <row r="91">
          <cell r="B91" t="str">
            <v>Triclorfon</v>
          </cell>
        </row>
        <row r="92">
          <cell r="B92" t="str">
            <v>Trimethylbenzene</v>
          </cell>
        </row>
        <row r="93">
          <cell r="B93" t="str">
            <v>Uranium</v>
          </cell>
        </row>
        <row r="94">
          <cell r="B94" t="str">
            <v>Vinyl Chloride</v>
          </cell>
        </row>
        <row r="95">
          <cell r="B95" t="str">
            <v>VOCs (Total)</v>
          </cell>
        </row>
        <row r="96">
          <cell r="B96" t="str">
            <v>Xylenes</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0:I38"/>
  <sheetViews>
    <sheetView tabSelected="1" topLeftCell="A16" zoomScale="70" zoomScaleNormal="70" workbookViewId="0">
      <selection activeCell="C23" sqref="C23"/>
    </sheetView>
  </sheetViews>
  <sheetFormatPr defaultColWidth="10.81640625" defaultRowHeight="14"/>
  <cols>
    <col min="1" max="2" width="10.81640625" style="12"/>
    <col min="3" max="3" width="27.6328125" style="12" customWidth="1"/>
    <col min="4" max="6" width="10.81640625" style="12"/>
    <col min="7" max="7" width="25" style="12" customWidth="1"/>
    <col min="8" max="8" width="28.26953125" style="12" customWidth="1"/>
    <col min="9" max="9" width="22.26953125" style="12" bestFit="1" customWidth="1"/>
    <col min="10" max="16384" width="10.81640625" style="12"/>
  </cols>
  <sheetData>
    <row r="10" spans="2:9" ht="63" customHeight="1">
      <c r="B10" s="49" t="s">
        <v>377</v>
      </c>
      <c r="C10" s="50"/>
      <c r="D10" s="50"/>
      <c r="E10" s="50"/>
      <c r="F10" s="50"/>
      <c r="G10" s="50"/>
      <c r="H10" s="50"/>
      <c r="I10" s="50"/>
    </row>
    <row r="11" spans="2:9">
      <c r="B11" s="12" t="s">
        <v>281</v>
      </c>
    </row>
    <row r="12" spans="2:9">
      <c r="B12" s="12" t="s">
        <v>575</v>
      </c>
    </row>
    <row r="14" spans="2:9">
      <c r="B14" s="12" t="s">
        <v>288</v>
      </c>
    </row>
    <row r="16" spans="2:9" ht="18" thickBot="1">
      <c r="G16" s="13"/>
      <c r="H16" s="13" t="s">
        <v>205</v>
      </c>
      <c r="I16" s="13" t="s">
        <v>282</v>
      </c>
    </row>
    <row r="17" spans="2:9" ht="18" thickBot="1">
      <c r="G17" s="13" t="s">
        <v>284</v>
      </c>
      <c r="H17" s="14">
        <f>Dietary!E2</f>
        <v>0</v>
      </c>
      <c r="I17" s="14">
        <f>Dietary!B2</f>
        <v>0</v>
      </c>
    </row>
    <row r="18" spans="2:9" ht="18" thickBot="1">
      <c r="G18" s="13" t="s">
        <v>227</v>
      </c>
      <c r="H18" s="14">
        <f>Soil!E2</f>
        <v>9.5191228122667546</v>
      </c>
      <c r="I18" s="14">
        <f>Soil!B2</f>
        <v>4457.3505790000072</v>
      </c>
    </row>
    <row r="19" spans="2:9" ht="18" thickBot="1">
      <c r="G19" s="13" t="s">
        <v>226</v>
      </c>
      <c r="H19" s="14">
        <f>Dust!H2</f>
        <v>0</v>
      </c>
      <c r="I19" s="14">
        <f>Dust!E2</f>
        <v>0</v>
      </c>
    </row>
    <row r="20" spans="2:9" ht="18" thickBot="1">
      <c r="G20" s="13" t="s">
        <v>283</v>
      </c>
      <c r="H20" s="14">
        <f>Water!D2</f>
        <v>0</v>
      </c>
      <c r="I20" s="14">
        <f>Water!B2</f>
        <v>0</v>
      </c>
    </row>
    <row r="21" spans="2:9" ht="18.5" thickBot="1">
      <c r="G21" s="16" t="s">
        <v>285</v>
      </c>
      <c r="H21" s="15">
        <f>SUM(H17:H20)</f>
        <v>9.5191228122667546</v>
      </c>
      <c r="I21" s="15">
        <f>SUM(I17:I20)</f>
        <v>4457.3505790000072</v>
      </c>
    </row>
    <row r="23" spans="2:9" ht="20">
      <c r="B23" s="45" t="s">
        <v>334</v>
      </c>
      <c r="C23" s="48" t="s">
        <v>397</v>
      </c>
    </row>
    <row r="24" spans="2:9" ht="14.5" thickBot="1">
      <c r="C24" s="44"/>
    </row>
    <row r="25" spans="2:9" ht="18" thickBot="1">
      <c r="G25" s="13" t="s">
        <v>286</v>
      </c>
      <c r="H25" s="14">
        <f>VLOOKUP(C23,'Economic Inputs'!A1:H186,8,0)</f>
        <v>715.1397925856412</v>
      </c>
    </row>
    <row r="26" spans="2:9" ht="18" thickBot="1">
      <c r="G26" s="13"/>
      <c r="H26" s="43"/>
    </row>
    <row r="27" spans="2:9" ht="18" thickBot="1">
      <c r="G27" s="13" t="s">
        <v>287</v>
      </c>
      <c r="H27" s="14">
        <f>VLOOKUP(C23,'Economic Inputs'!A1:H186,5,0)</f>
        <v>207.20709551303648</v>
      </c>
      <c r="I27" s="14">
        <f>VLOOKUP(C23,'Economic Inputs'!A1:H186,6,0)</f>
        <v>331.71025949927105</v>
      </c>
    </row>
    <row r="28" spans="2:9">
      <c r="H28" s="12" t="s">
        <v>574</v>
      </c>
      <c r="I28" s="12" t="s">
        <v>588</v>
      </c>
    </row>
    <row r="29" spans="2:9" ht="14.5" thickBot="1"/>
    <row r="30" spans="2:9" ht="18" thickBot="1">
      <c r="F30" s="16" t="s">
        <v>378</v>
      </c>
      <c r="H30" s="14">
        <f>(H21*H25)</f>
        <v>6807.5035135616927</v>
      </c>
    </row>
    <row r="31" spans="2:9" ht="18" thickBot="1">
      <c r="F31" s="16" t="s">
        <v>379</v>
      </c>
      <c r="H31" s="14">
        <f>I21*H27</f>
        <v>923594.66715794289</v>
      </c>
      <c r="I31" s="14">
        <f>I21*I27</f>
        <v>1478548.9172393184</v>
      </c>
    </row>
    <row r="32" spans="2:9">
      <c r="H32" s="12" t="s">
        <v>574</v>
      </c>
      <c r="I32" s="12" t="s">
        <v>588</v>
      </c>
    </row>
    <row r="33" spans="2:7">
      <c r="B33" s="12" t="s">
        <v>380</v>
      </c>
      <c r="G33" s="27"/>
    </row>
    <row r="34" spans="2:7">
      <c r="B34" s="12" t="s">
        <v>356</v>
      </c>
    </row>
    <row r="36" spans="2:7">
      <c r="B36" s="12" t="s">
        <v>373</v>
      </c>
      <c r="E36" s="12" t="s">
        <v>376</v>
      </c>
    </row>
    <row r="37" spans="2:7">
      <c r="B37" s="12" t="s">
        <v>374</v>
      </c>
      <c r="E37" s="12" t="s">
        <v>372</v>
      </c>
    </row>
    <row r="38" spans="2:7">
      <c r="B38" s="12" t="s">
        <v>375</v>
      </c>
      <c r="E38" s="12" t="s">
        <v>357</v>
      </c>
    </row>
  </sheetData>
  <sheetProtection sheet="1" objects="1" scenarios="1"/>
  <mergeCells count="1">
    <mergeCell ref="B10:I10"/>
  </mergeCells>
  <pageMargins left="0.7" right="0.7" top="0.75" bottom="0.75" header="0.3" footer="0.3"/>
  <pageSetup orientation="portrait" horizontalDpi="4294967292" verticalDpi="4294967292"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B866BC1-1F21-4D63-B4B2-79826BF5D4AC}">
          <x14:formula1>
            <xm:f>'Economic Inputs'!$A$1:$A$186</xm:f>
          </x14:formula1>
          <xm:sqref>C23</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04"/>
  <sheetViews>
    <sheetView zoomScale="70" zoomScaleNormal="70" workbookViewId="0">
      <selection activeCell="J6" sqref="J6"/>
    </sheetView>
  </sheetViews>
  <sheetFormatPr defaultColWidth="10.81640625" defaultRowHeight="14"/>
  <cols>
    <col min="1" max="1" width="21" style="1" customWidth="1"/>
    <col min="2" max="2" width="22.36328125" style="1" customWidth="1"/>
    <col min="3" max="3" width="14.7265625" style="1" bestFit="1" customWidth="1"/>
    <col min="4" max="4" width="12.36328125" style="1" bestFit="1" customWidth="1"/>
    <col min="5" max="5" width="14" style="1" bestFit="1" customWidth="1"/>
    <col min="6" max="6" width="10.1796875" style="1" bestFit="1" customWidth="1"/>
    <col min="7" max="7" width="18.81640625" style="1" bestFit="1" customWidth="1"/>
    <col min="8" max="8" width="18.81640625" style="1" customWidth="1"/>
    <col min="9" max="9" width="18" style="1" bestFit="1" customWidth="1"/>
    <col min="10" max="10" width="23.36328125" style="1" customWidth="1"/>
    <col min="11" max="11" width="19.26953125" style="1" customWidth="1"/>
    <col min="12" max="12" width="19.36328125" style="1" bestFit="1" customWidth="1"/>
    <col min="13" max="15" width="19.36328125" style="1" customWidth="1"/>
    <col min="16" max="16" width="16.1796875" style="1" customWidth="1"/>
    <col min="17" max="17" width="10.81640625" style="1"/>
    <col min="18" max="18" width="14.7265625" style="1" bestFit="1" customWidth="1"/>
    <col min="19" max="19" width="19.36328125" style="1" bestFit="1" customWidth="1"/>
    <col min="20" max="20" width="14" style="1" bestFit="1" customWidth="1"/>
    <col min="21" max="21" width="15.36328125" style="1" bestFit="1" customWidth="1"/>
    <col min="22" max="22" width="21.1796875" style="1" bestFit="1" customWidth="1"/>
    <col min="23" max="23" width="18.7265625" style="1" bestFit="1" customWidth="1"/>
    <col min="24" max="24" width="30" style="1" bestFit="1" customWidth="1"/>
    <col min="25" max="25" width="27.26953125" style="1" bestFit="1" customWidth="1"/>
    <col min="26" max="26" width="17" style="1" bestFit="1" customWidth="1"/>
    <col min="27" max="27" width="20.81640625" style="1" bestFit="1" customWidth="1"/>
    <col min="28" max="28" width="14.1796875" style="1" bestFit="1" customWidth="1"/>
    <col min="29" max="16384" width="10.81640625" style="1"/>
  </cols>
  <sheetData>
    <row r="1" spans="1:32" s="2" customFormat="1" ht="25">
      <c r="A1" s="2" t="s">
        <v>289</v>
      </c>
    </row>
    <row r="2" spans="1:32" s="4" customFormat="1" ht="15.5">
      <c r="A2" s="4" t="s">
        <v>347</v>
      </c>
      <c r="B2" s="28">
        <f>SUM(S:S)</f>
        <v>0</v>
      </c>
      <c r="C2" s="28"/>
      <c r="D2" s="4" t="s">
        <v>348</v>
      </c>
      <c r="E2" s="28">
        <f>SUM(T:T)</f>
        <v>0</v>
      </c>
    </row>
    <row r="3" spans="1:32" s="4" customFormat="1" ht="15.5">
      <c r="B3" s="28"/>
      <c r="C3" s="28"/>
      <c r="E3" s="28"/>
      <c r="Q3" s="4">
        <f>0.08*1000</f>
        <v>80</v>
      </c>
    </row>
    <row r="4" spans="1:32" ht="15.5">
      <c r="A4" s="3" t="s">
        <v>214</v>
      </c>
      <c r="B4" s="3" t="s">
        <v>386</v>
      </c>
      <c r="C4" s="3" t="s">
        <v>383</v>
      </c>
      <c r="D4" s="3" t="s">
        <v>332</v>
      </c>
      <c r="E4" s="3" t="s">
        <v>333</v>
      </c>
      <c r="F4" s="3" t="s">
        <v>334</v>
      </c>
      <c r="G4" s="3" t="s">
        <v>335</v>
      </c>
      <c r="H4" s="3" t="s">
        <v>217</v>
      </c>
      <c r="I4" s="3" t="s">
        <v>370</v>
      </c>
      <c r="J4" s="3" t="s">
        <v>218</v>
      </c>
      <c r="K4" s="3" t="s">
        <v>204</v>
      </c>
      <c r="L4" s="3" t="s">
        <v>215</v>
      </c>
      <c r="M4" s="3" t="s">
        <v>391</v>
      </c>
      <c r="N4" s="3" t="s">
        <v>392</v>
      </c>
      <c r="O4" s="3" t="s">
        <v>382</v>
      </c>
      <c r="P4" s="3" t="s">
        <v>234</v>
      </c>
      <c r="Q4" s="3" t="s">
        <v>212</v>
      </c>
      <c r="R4" s="3" t="s">
        <v>229</v>
      </c>
      <c r="S4" s="3" t="s">
        <v>278</v>
      </c>
      <c r="T4" s="3" t="s">
        <v>279</v>
      </c>
      <c r="U4" s="3" t="s">
        <v>273</v>
      </c>
      <c r="V4" s="3" t="s">
        <v>271</v>
      </c>
      <c r="W4" s="3" t="s">
        <v>274</v>
      </c>
      <c r="X4" s="3" t="s">
        <v>276</v>
      </c>
      <c r="Y4" s="3" t="s">
        <v>277</v>
      </c>
      <c r="Z4" s="3" t="s">
        <v>275</v>
      </c>
      <c r="AA4" s="3" t="s">
        <v>272</v>
      </c>
      <c r="AB4" s="24" t="s">
        <v>328</v>
      </c>
      <c r="AC4" s="24" t="s">
        <v>329</v>
      </c>
      <c r="AD4" s="24" t="s">
        <v>293</v>
      </c>
      <c r="AE4" s="24" t="s">
        <v>296</v>
      </c>
      <c r="AF4" s="24" t="s">
        <v>295</v>
      </c>
    </row>
    <row r="5" spans="1:32" ht="15.5">
      <c r="A5" s="29"/>
      <c r="B5" s="29">
        <v>0</v>
      </c>
      <c r="C5" s="29" t="s">
        <v>381</v>
      </c>
      <c r="D5" s="29"/>
      <c r="E5" s="29"/>
      <c r="F5" s="26" t="str">
        <f>Summary!C$23</f>
        <v>Afghanistan</v>
      </c>
      <c r="G5" s="29"/>
      <c r="H5" s="29" t="s">
        <v>366</v>
      </c>
      <c r="I5" s="33">
        <f>VLOOKUP(H5,'List Data'!$A$100:$B$104,2,0)</f>
        <v>100</v>
      </c>
      <c r="J5" s="29" t="s">
        <v>225</v>
      </c>
      <c r="K5" s="29" t="s">
        <v>37</v>
      </c>
      <c r="L5" s="29">
        <v>1000</v>
      </c>
      <c r="M5" s="37">
        <f>S5*Summary!$H$27</f>
        <v>0</v>
      </c>
      <c r="N5" s="37">
        <f>T5*Summary!$H$25</f>
        <v>0</v>
      </c>
      <c r="O5" s="34">
        <f>(VLOOKUP(C5,'List Data'!A$106:B$109,2,0))*B5</f>
        <v>0</v>
      </c>
      <c r="P5" s="26" t="str">
        <f>VLOOKUP(K5,'List Data'!A$2:C$94,3,0)</f>
        <v>CA</v>
      </c>
      <c r="Q5" s="26" t="str">
        <f>VLOOKUP(K5,'List Data'!A$2:B$94,2,0)</f>
        <v>608-73-1</v>
      </c>
      <c r="R5" s="26">
        <f>L5*O5*B5</f>
        <v>0</v>
      </c>
      <c r="S5" s="26">
        <f t="shared" ref="S5" si="0">U5+W5+Z5</f>
        <v>0</v>
      </c>
      <c r="T5" s="26">
        <f t="shared" ref="T5" si="1">V5+X5+Y5+AA5+AF5</f>
        <v>0</v>
      </c>
      <c r="U5" s="26">
        <f>(IF(AND((P5="OP"),(J5="Child (0-7 years)")),VLOOKUP(R5,'OP Values'!$A$1:$Q$35,7),))*I5</f>
        <v>0</v>
      </c>
      <c r="V5" s="26">
        <f>(IF(P5="OP",VLOOKUP($R5,'OP Values'!$A$1:$Q$35,17),))*I5</f>
        <v>0</v>
      </c>
      <c r="W5" s="26">
        <f>(IF(AND((P5="Pb"),(J5="Child (0-7 years)")),(VLOOKUP(R5+0.005,Pb!$C$2:$AV$103,11)),0))*I5</f>
        <v>0</v>
      </c>
      <c r="X5" s="26">
        <f>(IF(AND((P5="Pb"),(J5="Child (0-7 years)")),(VLOOKUP(R5,Pb!$C$2:$AV$103,20)),0))*I5</f>
        <v>0</v>
      </c>
      <c r="Y5" s="26">
        <f>(IF(AND((P5="Pb"),(J5="Adult (&gt; 15 years)")),(VLOOKUP(R5,Pb!$C$2:$AV$103,46)),0))*I5</f>
        <v>0</v>
      </c>
      <c r="Z5" s="26">
        <f>(IF(AND((P5="Hg"),(J5="Child (0-7 years)")),(VLOOKUP(R5,'Hg Values'!$A$1:$M$30,3)),0))*I5</f>
        <v>0</v>
      </c>
      <c r="AA5" s="26">
        <f>(IF(AND((P5="Hg"),(J5="Child (0-7 years)")),(VLOOKUP(R5,'Hg Values'!$A$1:$M$30,13)),0))*I5</f>
        <v>0</v>
      </c>
      <c r="AB5" s="5">
        <f>(((IF(AND((P5="CA"),(J5="Adult (&gt; 15 years)")),((R5*1)/70)*(VLOOKUP(K5,CA_ingestion!A$1:J$78,4,0)),0))))/11</f>
        <v>0</v>
      </c>
      <c r="AC5" s="5">
        <f t="shared" ref="AC5" si="2">(IF(AB5&gt;1,1,AB5))*I5</f>
        <v>0</v>
      </c>
      <c r="AD5" s="5">
        <f>((IF(AND((P5="CA"),(J5="Adult (&gt; 15 years)")),(AC5*(VLOOKUP(K5,CA_ingestion!A$1:J$78,10,0))),0)))</f>
        <v>0</v>
      </c>
      <c r="AE5" s="5">
        <f t="shared" ref="AE5" si="3">AC5/2</f>
        <v>0</v>
      </c>
      <c r="AF5" s="5">
        <f>AO5+AE5</f>
        <v>0</v>
      </c>
    </row>
    <row r="6" spans="1:32" ht="15.5">
      <c r="A6" s="29"/>
      <c r="B6" s="29">
        <v>0</v>
      </c>
      <c r="C6" s="29" t="s">
        <v>369</v>
      </c>
      <c r="D6" s="29"/>
      <c r="E6" s="29"/>
      <c r="F6" s="26" t="str">
        <f>Summary!C$23</f>
        <v>Afghanistan</v>
      </c>
      <c r="G6" s="29"/>
      <c r="H6" s="29" t="s">
        <v>369</v>
      </c>
      <c r="I6" s="33">
        <f>VLOOKUP(H6,'List Data'!$A$100:$B$104,2,0)</f>
        <v>0</v>
      </c>
      <c r="J6" s="29" t="s">
        <v>213</v>
      </c>
      <c r="K6" s="29" t="s">
        <v>213</v>
      </c>
      <c r="L6" s="29">
        <v>0</v>
      </c>
      <c r="M6" s="37">
        <f>S6*Summary!$H$27</f>
        <v>0</v>
      </c>
      <c r="N6" s="37">
        <f>T6*Summary!$H$25</f>
        <v>0</v>
      </c>
      <c r="O6" s="34">
        <f>(VLOOKUP(C6,'List Data'!A$106:B$109,2,0))*B6</f>
        <v>0</v>
      </c>
      <c r="P6" s="26">
        <f>VLOOKUP(K6,'List Data'!A$2:C$94,3,0)</f>
        <v>0</v>
      </c>
      <c r="Q6" s="26" t="str">
        <f>VLOOKUP(K6,'List Data'!A$2:B$94,2,0)</f>
        <v>--------</v>
      </c>
      <c r="R6" s="26">
        <f t="shared" ref="R6:R69" si="4">L6*O6*B6</f>
        <v>0</v>
      </c>
      <c r="S6" s="26">
        <f t="shared" ref="S6:S69" si="5">U6+W6+Z6</f>
        <v>0</v>
      </c>
      <c r="T6" s="26">
        <f t="shared" ref="T6:T69" si="6">V6+X6+Y6+AA6+AF6</f>
        <v>0</v>
      </c>
      <c r="U6" s="26">
        <f>(IF(AND((P6="OP"),(J6="Child (0-7 years)")),VLOOKUP(R6,'OP Values'!$A$1:$Q$35,7),))*I6</f>
        <v>0</v>
      </c>
      <c r="V6" s="26">
        <f>(IF(P6="OP",VLOOKUP($R6,'OP Values'!$A$1:$Q$35,17),))*I6</f>
        <v>0</v>
      </c>
      <c r="W6" s="26">
        <f>(IF(AND((P6="Pb"),(J6="Child (0-7 years)")),(VLOOKUP(R6,Pb!$C$2:$AV$103,11)),0))*I6</f>
        <v>0</v>
      </c>
      <c r="X6" s="26">
        <f>(IF(AND((P6="Pb"),(J6="Child (0-7 years)")),(VLOOKUP(R6,Pb!$C$2:$AV$103,20)),0))*I6</f>
        <v>0</v>
      </c>
      <c r="Y6" s="26">
        <f>(IF(AND((P6="Pb"),(J6="Adult (&gt; 15 years)")),(VLOOKUP(R6,Pb!$C$2:$AV$103,46)),0))*I6</f>
        <v>0</v>
      </c>
      <c r="Z6" s="26">
        <f>(IF(AND((P6="Hg"),(J6="Child (0-7 years)")),(VLOOKUP(R6,'Hg Values'!$A$1:$M$30,3)),0))*I6</f>
        <v>0</v>
      </c>
      <c r="AA6" s="26">
        <f>(IF(AND((P6="Hg"),(J6="Child (0-7 years)")),(VLOOKUP(R6,'Hg Values'!$A$1:$M$30,13)),0))*I6</f>
        <v>0</v>
      </c>
      <c r="AB6" s="5">
        <f>(((IF(AND((P6="CA"),(J6="Adult (&gt; 15 years)")),((R6*1)/70)*(VLOOKUP(K6,CA_ingestion!A$1:J$78,4,0)),0))))/11</f>
        <v>0</v>
      </c>
      <c r="AC6" s="5">
        <f t="shared" ref="AC6:AC69" si="7">(IF(AB6&gt;1,1,AB6))*I6</f>
        <v>0</v>
      </c>
      <c r="AD6" s="5">
        <f>((IF(AND((P6="CA"),(J6="Adult (&gt; 15 years)")),(AC6*(VLOOKUP(K6,CA_ingestion!A$1:J$78,10,0))),0)))</f>
        <v>0</v>
      </c>
      <c r="AE6" s="5">
        <f t="shared" ref="AE6:AE69" si="8">AC6/2</f>
        <v>0</v>
      </c>
      <c r="AF6" s="5">
        <f t="shared" ref="AF6:AF69" si="9">AO6+AE6</f>
        <v>0</v>
      </c>
    </row>
    <row r="7" spans="1:32" ht="15.5">
      <c r="A7" s="29"/>
      <c r="B7" s="29">
        <v>0</v>
      </c>
      <c r="C7" s="29" t="s">
        <v>369</v>
      </c>
      <c r="D7" s="29"/>
      <c r="E7" s="29"/>
      <c r="F7" s="26" t="str">
        <f>Summary!C$23</f>
        <v>Afghanistan</v>
      </c>
      <c r="G7" s="29"/>
      <c r="H7" s="29" t="s">
        <v>369</v>
      </c>
      <c r="I7" s="33">
        <f>VLOOKUP(H7,'List Data'!$A$100:$B$104,2,0)</f>
        <v>0</v>
      </c>
      <c r="J7" s="29" t="s">
        <v>213</v>
      </c>
      <c r="K7" s="29" t="s">
        <v>213</v>
      </c>
      <c r="L7" s="29">
        <v>0</v>
      </c>
      <c r="M7" s="37">
        <f>S7*Summary!$H$27</f>
        <v>0</v>
      </c>
      <c r="N7" s="37">
        <f>T7*Summary!$H$25</f>
        <v>0</v>
      </c>
      <c r="O7" s="34">
        <f>(VLOOKUP(C7,'List Data'!A$106:B$109,2,0))*B7</f>
        <v>0</v>
      </c>
      <c r="P7" s="26">
        <f>VLOOKUP(K7,'List Data'!A$2:C$94,3,0)</f>
        <v>0</v>
      </c>
      <c r="Q7" s="26" t="str">
        <f>VLOOKUP(K7,'List Data'!A$2:B$94,2,0)</f>
        <v>--------</v>
      </c>
      <c r="R7" s="26">
        <f t="shared" si="4"/>
        <v>0</v>
      </c>
      <c r="S7" s="26">
        <f t="shared" si="5"/>
        <v>0</v>
      </c>
      <c r="T7" s="26">
        <f t="shared" si="6"/>
        <v>0</v>
      </c>
      <c r="U7" s="26">
        <f>(IF(AND((P7="OP"),(J7="Child (0-7 years)")),VLOOKUP(R7,'OP Values'!$A$1:$Q$35,7),))*I7</f>
        <v>0</v>
      </c>
      <c r="V7" s="26">
        <f>(IF(P7="OP",VLOOKUP($R7,'OP Values'!$A$1:$Q$35,17),))*I7</f>
        <v>0</v>
      </c>
      <c r="W7" s="26">
        <f>(IF(AND((P7="Pb"),(J7="Child (0-7 years)")),(VLOOKUP(R7,Pb!$C$2:$AV$103,11)),0))*I7</f>
        <v>0</v>
      </c>
      <c r="X7" s="26">
        <f>(IF(AND((P7="Pb"),(J7="Child (0-7 years)")),(VLOOKUP(R7,Pb!$C$2:$AV$103,20)),0))*I7</f>
        <v>0</v>
      </c>
      <c r="Y7" s="26">
        <f>(IF(AND((P7="Pb"),(J7="Adult (&gt; 15 years)")),(VLOOKUP(R7,Pb!$C$2:$AV$103,46)),0))*I7</f>
        <v>0</v>
      </c>
      <c r="Z7" s="26">
        <f>(IF(AND((P7="Hg"),(J7="Child (0-7 years)")),(VLOOKUP(R7,'Hg Values'!$A$1:$M$30,3)),0))*I7</f>
        <v>0</v>
      </c>
      <c r="AA7" s="26">
        <f>(IF(AND((P7="Hg"),(J7="Child (0-7 years)")),(VLOOKUP(R7,'Hg Values'!$A$1:$M$30,13)),0))*I7</f>
        <v>0</v>
      </c>
      <c r="AB7" s="5">
        <f>(((IF(AND((P7="CA"),(J7="Adult (&gt; 15 years)")),((R7*1)/70)*(VLOOKUP(K7,CA_ingestion!A$1:J$78,4,0)),0))))/11</f>
        <v>0</v>
      </c>
      <c r="AC7" s="5">
        <f t="shared" si="7"/>
        <v>0</v>
      </c>
      <c r="AD7" s="5">
        <f>((IF(AND((P7="CA"),(J7="Adult (&gt; 15 years)")),(AC7*(VLOOKUP(K7,CA_ingestion!A$1:J$78,10,0))),0)))</f>
        <v>0</v>
      </c>
      <c r="AE7" s="5">
        <f t="shared" si="8"/>
        <v>0</v>
      </c>
      <c r="AF7" s="5">
        <f t="shared" si="9"/>
        <v>0</v>
      </c>
    </row>
    <row r="8" spans="1:32" ht="15.5">
      <c r="A8" s="29"/>
      <c r="B8" s="29">
        <v>0</v>
      </c>
      <c r="C8" s="29" t="s">
        <v>369</v>
      </c>
      <c r="D8" s="29"/>
      <c r="E8" s="29"/>
      <c r="F8" s="26" t="str">
        <f>Summary!C$23</f>
        <v>Afghanistan</v>
      </c>
      <c r="G8" s="29"/>
      <c r="H8" s="29" t="s">
        <v>369</v>
      </c>
      <c r="I8" s="33">
        <f>VLOOKUP(H8,'List Data'!$A$100:$B$104,2,0)</f>
        <v>0</v>
      </c>
      <c r="J8" s="29" t="s">
        <v>213</v>
      </c>
      <c r="K8" s="29" t="s">
        <v>213</v>
      </c>
      <c r="L8" s="29">
        <v>0</v>
      </c>
      <c r="M8" s="37">
        <f>S8*Summary!$H$27</f>
        <v>0</v>
      </c>
      <c r="N8" s="37">
        <f>T8*Summary!$H$25</f>
        <v>0</v>
      </c>
      <c r="O8" s="34">
        <f>(VLOOKUP(C8,'List Data'!A$106:B$109,2,0))*B8</f>
        <v>0</v>
      </c>
      <c r="P8" s="26">
        <f>VLOOKUP(K8,'List Data'!A$2:C$94,3,0)</f>
        <v>0</v>
      </c>
      <c r="Q8" s="26" t="str">
        <f>VLOOKUP(K8,'List Data'!A$2:B$94,2,0)</f>
        <v>--------</v>
      </c>
      <c r="R8" s="26">
        <f t="shared" si="4"/>
        <v>0</v>
      </c>
      <c r="S8" s="26">
        <f t="shared" si="5"/>
        <v>0</v>
      </c>
      <c r="T8" s="26">
        <f t="shared" si="6"/>
        <v>0</v>
      </c>
      <c r="U8" s="26">
        <f>(IF(AND((P8="OP"),(J8="Child (0-7 years)")),VLOOKUP(R8,'OP Values'!$A$1:$Q$35,7),))*I8</f>
        <v>0</v>
      </c>
      <c r="V8" s="26">
        <f>(IF(P8="OP",VLOOKUP($R8,'OP Values'!$A$1:$Q$35,17),))*I8</f>
        <v>0</v>
      </c>
      <c r="W8" s="26">
        <f>(IF(AND((P8="Pb"),(J8="Child (0-7 years)")),(VLOOKUP(R8,Pb!$C$2:$AV$103,11)),0))*I8</f>
        <v>0</v>
      </c>
      <c r="X8" s="26">
        <f>(IF(AND((P8="Pb"),(J8="Child (0-7 years)")),(VLOOKUP(R8,Pb!$C$2:$AV$103,20)),0))*I8</f>
        <v>0</v>
      </c>
      <c r="Y8" s="26">
        <f>(IF(AND((P8="Pb"),(J8="Adult (&gt; 15 years)")),(VLOOKUP(R8,Pb!$C$2:$AV$103,46)),0))*I8</f>
        <v>0</v>
      </c>
      <c r="Z8" s="26">
        <f>(IF(AND((P8="Hg"),(J8="Child (0-7 years)")),(VLOOKUP(R8,'Hg Values'!$A$1:$M$30,3)),0))*I8</f>
        <v>0</v>
      </c>
      <c r="AA8" s="26">
        <f>(IF(AND((P8="Hg"),(J8="Child (0-7 years)")),(VLOOKUP(R8,'Hg Values'!$A$1:$M$30,13)),0))*I8</f>
        <v>0</v>
      </c>
      <c r="AB8" s="5">
        <f>(((IF(AND((P8="CA"),(J8="Adult (&gt; 15 years)")),((R8*1)/70)*(VLOOKUP(K8,CA_ingestion!A$1:J$78,4,0)),0))))/11</f>
        <v>0</v>
      </c>
      <c r="AC8" s="5">
        <f t="shared" si="7"/>
        <v>0</v>
      </c>
      <c r="AD8" s="5">
        <f>((IF(AND((P8="CA"),(J8="Adult (&gt; 15 years)")),(AC8*(VLOOKUP(K8,CA_ingestion!A$1:J$78,10,0))),0)))</f>
        <v>0</v>
      </c>
      <c r="AE8" s="5">
        <f t="shared" si="8"/>
        <v>0</v>
      </c>
      <c r="AF8" s="5">
        <f t="shared" si="9"/>
        <v>0</v>
      </c>
    </row>
    <row r="9" spans="1:32" ht="15.5">
      <c r="A9" s="29"/>
      <c r="B9" s="29">
        <v>0</v>
      </c>
      <c r="C9" s="29" t="s">
        <v>369</v>
      </c>
      <c r="D9" s="29"/>
      <c r="E9" s="29"/>
      <c r="F9" s="26" t="str">
        <f>Summary!C$23</f>
        <v>Afghanistan</v>
      </c>
      <c r="G9" s="29"/>
      <c r="H9" s="29" t="s">
        <v>369</v>
      </c>
      <c r="I9" s="33">
        <f>VLOOKUP(H9,'List Data'!$A$100:$B$104,2,0)</f>
        <v>0</v>
      </c>
      <c r="J9" s="29" t="s">
        <v>213</v>
      </c>
      <c r="K9" s="29" t="s">
        <v>213</v>
      </c>
      <c r="L9" s="29">
        <v>0</v>
      </c>
      <c r="M9" s="37">
        <f>S9*Summary!$H$27</f>
        <v>0</v>
      </c>
      <c r="N9" s="37">
        <f>T9*Summary!$H$25</f>
        <v>0</v>
      </c>
      <c r="O9" s="34">
        <f>(VLOOKUP(C9,'List Data'!A$106:B$109,2,0))*B9</f>
        <v>0</v>
      </c>
      <c r="P9" s="26">
        <f>VLOOKUP(K9,'List Data'!A$2:C$94,3,0)</f>
        <v>0</v>
      </c>
      <c r="Q9" s="26" t="str">
        <f>VLOOKUP(K9,'List Data'!A$2:B$94,2,0)</f>
        <v>--------</v>
      </c>
      <c r="R9" s="26">
        <f t="shared" si="4"/>
        <v>0</v>
      </c>
      <c r="S9" s="26">
        <f t="shared" si="5"/>
        <v>0</v>
      </c>
      <c r="T9" s="26">
        <f t="shared" si="6"/>
        <v>0</v>
      </c>
      <c r="U9" s="26">
        <f>(IF(AND((P9="OP"),(J9="Child (0-7 years)")),VLOOKUP(R9,'OP Values'!$A$1:$Q$35,7),))*I9</f>
        <v>0</v>
      </c>
      <c r="V9" s="26">
        <f>(IF(P9="OP",VLOOKUP($R9,'OP Values'!$A$1:$Q$35,17),))*I9</f>
        <v>0</v>
      </c>
      <c r="W9" s="26">
        <f>(IF(AND((P9="Pb"),(J9="Child (0-7 years)")),(VLOOKUP(R9,Pb!$C$2:$AV$103,11)),0))*I9</f>
        <v>0</v>
      </c>
      <c r="X9" s="26">
        <f>(IF(AND((P9="Pb"),(J9="Child (0-7 years)")),(VLOOKUP(R9,Pb!$C$2:$AV$103,20)),0))*I9</f>
        <v>0</v>
      </c>
      <c r="Y9" s="26">
        <f>(IF(AND((P9="Pb"),(J9="Adult (&gt; 15 years)")),(VLOOKUP(R9,Pb!$C$2:$AV$103,46)),0))*I9</f>
        <v>0</v>
      </c>
      <c r="Z9" s="26">
        <f>(IF(AND((P9="Hg"),(J9="Child (0-7 years)")),(VLOOKUP(R9,'Hg Values'!$A$1:$M$30,3)),0))*I9</f>
        <v>0</v>
      </c>
      <c r="AA9" s="26">
        <f>(IF(AND((P9="Hg"),(J9="Child (0-7 years)")),(VLOOKUP(R9,'Hg Values'!$A$1:$M$30,13)),0))*I9</f>
        <v>0</v>
      </c>
      <c r="AB9" s="5">
        <f>(((IF(AND((P9="CA"),(J9="Adult (&gt; 15 years)")),((R9*1)/70)*(VLOOKUP(K9,CA_ingestion!A$1:J$78,4,0)),0))))/11</f>
        <v>0</v>
      </c>
      <c r="AC9" s="5">
        <f t="shared" si="7"/>
        <v>0</v>
      </c>
      <c r="AD9" s="5">
        <f>((IF(AND((P9="CA"),(J9="Adult (&gt; 15 years)")),(AC9*(VLOOKUP(K9,CA_ingestion!A$1:J$78,10,0))),0)))</f>
        <v>0</v>
      </c>
      <c r="AE9" s="5">
        <f t="shared" si="8"/>
        <v>0</v>
      </c>
      <c r="AF9" s="5">
        <f t="shared" si="9"/>
        <v>0</v>
      </c>
    </row>
    <row r="10" spans="1:32" ht="15.5">
      <c r="A10" s="29"/>
      <c r="B10" s="29">
        <v>0</v>
      </c>
      <c r="C10" s="29" t="s">
        <v>369</v>
      </c>
      <c r="D10" s="29"/>
      <c r="E10" s="29"/>
      <c r="F10" s="26" t="str">
        <f>Summary!C$23</f>
        <v>Afghanistan</v>
      </c>
      <c r="G10" s="29"/>
      <c r="H10" s="29" t="s">
        <v>369</v>
      </c>
      <c r="I10" s="33">
        <f>VLOOKUP(H10,'List Data'!$A$100:$B$104,2,0)</f>
        <v>0</v>
      </c>
      <c r="J10" s="29" t="s">
        <v>213</v>
      </c>
      <c r="K10" s="29" t="s">
        <v>213</v>
      </c>
      <c r="L10" s="29">
        <v>0</v>
      </c>
      <c r="M10" s="37">
        <f>S10*Summary!$H$27</f>
        <v>0</v>
      </c>
      <c r="N10" s="37">
        <f>T10*Summary!$H$25</f>
        <v>0</v>
      </c>
      <c r="O10" s="34">
        <f>(VLOOKUP(C10,'List Data'!A$106:B$109,2,0))*B10</f>
        <v>0</v>
      </c>
      <c r="P10" s="26">
        <f>VLOOKUP(K10,'List Data'!A$2:C$94,3,0)</f>
        <v>0</v>
      </c>
      <c r="Q10" s="26" t="str">
        <f>VLOOKUP(K10,'List Data'!A$2:B$94,2,0)</f>
        <v>--------</v>
      </c>
      <c r="R10" s="26">
        <f t="shared" si="4"/>
        <v>0</v>
      </c>
      <c r="S10" s="26">
        <f t="shared" si="5"/>
        <v>0</v>
      </c>
      <c r="T10" s="26">
        <f t="shared" si="6"/>
        <v>0</v>
      </c>
      <c r="U10" s="26">
        <f>(IF(AND((P10="OP"),(J10="Child (0-7 years)")),VLOOKUP(R10,'OP Values'!$A$1:$Q$35,7),))*I10</f>
        <v>0</v>
      </c>
      <c r="V10" s="26">
        <f>(IF(P10="OP",VLOOKUP($R10,'OP Values'!$A$1:$Q$35,17),))*I10</f>
        <v>0</v>
      </c>
      <c r="W10" s="26">
        <f>(IF(AND((P10="Pb"),(J10="Child (0-7 years)")),(VLOOKUP(R10,Pb!$C$2:$AV$103,11)),0))*I10</f>
        <v>0</v>
      </c>
      <c r="X10" s="26">
        <f>(IF(AND((P10="Pb"),(J10="Child (0-7 years)")),(VLOOKUP(R10,Pb!$C$2:$AV$103,20)),0))*I10</f>
        <v>0</v>
      </c>
      <c r="Y10" s="26">
        <f>(IF(AND((P10="Pb"),(J10="Adult (&gt; 15 years)")),(VLOOKUP(R10,Pb!$C$2:$AV$103,46)),0))*I10</f>
        <v>0</v>
      </c>
      <c r="Z10" s="26">
        <f>(IF(AND((P10="Hg"),(J10="Child (0-7 years)")),(VLOOKUP(R10,'Hg Values'!$A$1:$M$30,3)),0))*I10</f>
        <v>0</v>
      </c>
      <c r="AA10" s="26">
        <f>(IF(AND((P10="Hg"),(J10="Child (0-7 years)")),(VLOOKUP(R10,'Hg Values'!$A$1:$M$30,13)),0))*I10</f>
        <v>0</v>
      </c>
      <c r="AB10" s="5">
        <f>(((IF(AND((P10="CA"),(J10="Adult (&gt; 15 years)")),((R10*1)/70)*(VLOOKUP(K10,CA_ingestion!A$1:J$78,4,0)),0))))/11</f>
        <v>0</v>
      </c>
      <c r="AC10" s="5">
        <f t="shared" si="7"/>
        <v>0</v>
      </c>
      <c r="AD10" s="5">
        <f>((IF(AND((P10="CA"),(J10="Adult (&gt; 15 years)")),(AC10*(VLOOKUP(K10,CA_ingestion!A$1:J$78,10,0))),0)))</f>
        <v>0</v>
      </c>
      <c r="AE10" s="5">
        <f t="shared" si="8"/>
        <v>0</v>
      </c>
      <c r="AF10" s="5">
        <f t="shared" si="9"/>
        <v>0</v>
      </c>
    </row>
    <row r="11" spans="1:32" ht="15.5">
      <c r="A11" s="29"/>
      <c r="B11" s="29">
        <v>0</v>
      </c>
      <c r="C11" s="29" t="s">
        <v>369</v>
      </c>
      <c r="D11" s="29"/>
      <c r="E11" s="29"/>
      <c r="F11" s="26" t="str">
        <f>Summary!C$23</f>
        <v>Afghanistan</v>
      </c>
      <c r="G11" s="29"/>
      <c r="H11" s="29" t="s">
        <v>369</v>
      </c>
      <c r="I11" s="33">
        <f>VLOOKUP(H11,'List Data'!$A$100:$B$104,2,0)</f>
        <v>0</v>
      </c>
      <c r="J11" s="29" t="s">
        <v>213</v>
      </c>
      <c r="K11" s="29" t="s">
        <v>213</v>
      </c>
      <c r="L11" s="29">
        <v>0</v>
      </c>
      <c r="M11" s="37">
        <f>S11*Summary!$H$27</f>
        <v>0</v>
      </c>
      <c r="N11" s="37">
        <f>T11*Summary!$H$25</f>
        <v>0</v>
      </c>
      <c r="O11" s="34">
        <f>(VLOOKUP(C11,'List Data'!A$106:B$109,2,0))*B11</f>
        <v>0</v>
      </c>
      <c r="P11" s="26">
        <f>VLOOKUP(K11,'List Data'!A$2:C$94,3,0)</f>
        <v>0</v>
      </c>
      <c r="Q11" s="26" t="str">
        <f>VLOOKUP(K11,'List Data'!A$2:B$94,2,0)</f>
        <v>--------</v>
      </c>
      <c r="R11" s="26">
        <f t="shared" si="4"/>
        <v>0</v>
      </c>
      <c r="S11" s="26">
        <f t="shared" si="5"/>
        <v>0</v>
      </c>
      <c r="T11" s="26">
        <f t="shared" si="6"/>
        <v>0</v>
      </c>
      <c r="U11" s="26">
        <f>(IF(AND((P11="OP"),(J11="Child (0-7 years)")),VLOOKUP(R11,'OP Values'!$A$1:$Q$35,7),))*I11</f>
        <v>0</v>
      </c>
      <c r="V11" s="26">
        <f>(IF(P11="OP",VLOOKUP($R11,'OP Values'!$A$1:$Q$35,17),))*I11</f>
        <v>0</v>
      </c>
      <c r="W11" s="26">
        <f>(IF(AND((P11="Pb"),(J11="Child (0-7 years)")),(VLOOKUP(R11,Pb!$C$2:$AV$103,11)),0))*I11</f>
        <v>0</v>
      </c>
      <c r="X11" s="26">
        <f>(IF(AND((P11="Pb"),(J11="Child (0-7 years)")),(VLOOKUP(R11,Pb!$C$2:$AV$103,20)),0))*I11</f>
        <v>0</v>
      </c>
      <c r="Y11" s="26">
        <f>(IF(AND((P11="Pb"),(J11="Adult (&gt; 15 years)")),(VLOOKUP(R11,Pb!$C$2:$AV$103,46)),0))*I11</f>
        <v>0</v>
      </c>
      <c r="Z11" s="26">
        <f>(IF(AND((P11="Hg"),(J11="Child (0-7 years)")),(VLOOKUP(R11,'Hg Values'!$A$1:$M$30,3)),0))*I11</f>
        <v>0</v>
      </c>
      <c r="AA11" s="26">
        <f>(IF(AND((P11="Hg"),(J11="Child (0-7 years)")),(VLOOKUP(R11,'Hg Values'!$A$1:$M$30,13)),0))*I11</f>
        <v>0</v>
      </c>
      <c r="AB11" s="5">
        <f>(((IF(AND((P11="CA"),(J11="Adult (&gt; 15 years)")),((R11*1)/70)*(VLOOKUP(K11,CA_ingestion!A$1:J$78,4,0)),0))))/11</f>
        <v>0</v>
      </c>
      <c r="AC11" s="5">
        <f t="shared" si="7"/>
        <v>0</v>
      </c>
      <c r="AD11" s="5">
        <f>((IF(AND((P11="CA"),(J11="Adult (&gt; 15 years)")),(AC11*(VLOOKUP(K11,CA_ingestion!A$1:J$78,10,0))),0)))</f>
        <v>0</v>
      </c>
      <c r="AE11" s="5">
        <f t="shared" si="8"/>
        <v>0</v>
      </c>
      <c r="AF11" s="5">
        <f t="shared" si="9"/>
        <v>0</v>
      </c>
    </row>
    <row r="12" spans="1:32" ht="15.5">
      <c r="A12" s="29"/>
      <c r="B12" s="29">
        <v>0</v>
      </c>
      <c r="C12" s="29" t="s">
        <v>369</v>
      </c>
      <c r="D12" s="29"/>
      <c r="E12" s="29"/>
      <c r="F12" s="26" t="str">
        <f>Summary!C$23</f>
        <v>Afghanistan</v>
      </c>
      <c r="G12" s="29"/>
      <c r="H12" s="29" t="s">
        <v>369</v>
      </c>
      <c r="I12" s="33">
        <f>VLOOKUP(H12,'List Data'!$A$100:$B$104,2,0)</f>
        <v>0</v>
      </c>
      <c r="J12" s="29" t="s">
        <v>213</v>
      </c>
      <c r="K12" s="29" t="s">
        <v>213</v>
      </c>
      <c r="L12" s="29">
        <v>0</v>
      </c>
      <c r="M12" s="37">
        <f>S12*Summary!$H$27</f>
        <v>0</v>
      </c>
      <c r="N12" s="37">
        <f>T12*Summary!$H$25</f>
        <v>0</v>
      </c>
      <c r="O12" s="34">
        <f>(VLOOKUP(C12,'List Data'!A$106:B$109,2,0))*B12</f>
        <v>0</v>
      </c>
      <c r="P12" s="26">
        <f>VLOOKUP(K12,'List Data'!A$2:C$94,3,0)</f>
        <v>0</v>
      </c>
      <c r="Q12" s="26" t="str">
        <f>VLOOKUP(K12,'List Data'!A$2:B$94,2,0)</f>
        <v>--------</v>
      </c>
      <c r="R12" s="26">
        <f t="shared" si="4"/>
        <v>0</v>
      </c>
      <c r="S12" s="26">
        <f t="shared" si="5"/>
        <v>0</v>
      </c>
      <c r="T12" s="26">
        <f t="shared" si="6"/>
        <v>0</v>
      </c>
      <c r="U12" s="26">
        <f>(IF(AND((P12="OP"),(J12="Child (0-7 years)")),VLOOKUP(R12,'OP Values'!$A$1:$Q$35,7),))*I12</f>
        <v>0</v>
      </c>
      <c r="V12" s="26">
        <f>(IF(P12="OP",VLOOKUP($R12,'OP Values'!$A$1:$Q$35,17),))*I12</f>
        <v>0</v>
      </c>
      <c r="W12" s="26">
        <f>(IF(AND((P12="Pb"),(J12="Child (0-7 years)")),(VLOOKUP(R12,Pb!$C$2:$AV$103,11)),0))*I12</f>
        <v>0</v>
      </c>
      <c r="X12" s="26">
        <f>(IF(AND((P12="Pb"),(J12="Child (0-7 years)")),(VLOOKUP(R12,Pb!$C$2:$AV$103,20)),0))*I12</f>
        <v>0</v>
      </c>
      <c r="Y12" s="26">
        <f>(IF(AND((P12="Pb"),(J12="Adult (&gt; 15 years)")),(VLOOKUP(R12,Pb!$C$2:$AV$103,46)),0))*I12</f>
        <v>0</v>
      </c>
      <c r="Z12" s="26">
        <f>(IF(AND((P12="Hg"),(J12="Child (0-7 years)")),(VLOOKUP(R12,'Hg Values'!$A$1:$M$30,3)),0))*I12</f>
        <v>0</v>
      </c>
      <c r="AA12" s="26">
        <f>(IF(AND((P12="Hg"),(J12="Child (0-7 years)")),(VLOOKUP(R12,'Hg Values'!$A$1:$M$30,13)),0))*I12</f>
        <v>0</v>
      </c>
      <c r="AB12" s="5">
        <f>(((IF(AND((P12="CA"),(J12="Adult (&gt; 15 years)")),((R12*1)/70)*(VLOOKUP(K12,CA_ingestion!A$1:J$78,4,0)),0))))/11</f>
        <v>0</v>
      </c>
      <c r="AC12" s="5">
        <f t="shared" si="7"/>
        <v>0</v>
      </c>
      <c r="AD12" s="5">
        <f>((IF(AND((P12="CA"),(J12="Adult (&gt; 15 years)")),(AC12*(VLOOKUP(K12,CA_ingestion!A$1:J$78,10,0))),0)))</f>
        <v>0</v>
      </c>
      <c r="AE12" s="5">
        <f t="shared" si="8"/>
        <v>0</v>
      </c>
      <c r="AF12" s="5">
        <f t="shared" si="9"/>
        <v>0</v>
      </c>
    </row>
    <row r="13" spans="1:32" ht="15.5">
      <c r="A13" s="29"/>
      <c r="B13" s="29">
        <v>0</v>
      </c>
      <c r="C13" s="29" t="s">
        <v>369</v>
      </c>
      <c r="D13" s="29"/>
      <c r="E13" s="29"/>
      <c r="F13" s="26" t="str">
        <f>Summary!C$23</f>
        <v>Afghanistan</v>
      </c>
      <c r="G13" s="29"/>
      <c r="H13" s="29" t="s">
        <v>369</v>
      </c>
      <c r="I13" s="33">
        <f>VLOOKUP(H13,'List Data'!$A$100:$B$104,2,0)</f>
        <v>0</v>
      </c>
      <c r="J13" s="29" t="s">
        <v>213</v>
      </c>
      <c r="K13" s="29" t="s">
        <v>213</v>
      </c>
      <c r="L13" s="29">
        <v>0</v>
      </c>
      <c r="M13" s="37">
        <f>S13*Summary!$H$27</f>
        <v>0</v>
      </c>
      <c r="N13" s="37">
        <f>T13*Summary!$H$25</f>
        <v>0</v>
      </c>
      <c r="O13" s="34">
        <f>(VLOOKUP(C13,'List Data'!A$106:B$109,2,0))*B13</f>
        <v>0</v>
      </c>
      <c r="P13" s="26">
        <f>VLOOKUP(K13,'List Data'!A$2:C$94,3,0)</f>
        <v>0</v>
      </c>
      <c r="Q13" s="26" t="str">
        <f>VLOOKUP(K13,'List Data'!A$2:B$94,2,0)</f>
        <v>--------</v>
      </c>
      <c r="R13" s="26">
        <f t="shared" si="4"/>
        <v>0</v>
      </c>
      <c r="S13" s="26">
        <f t="shared" si="5"/>
        <v>0</v>
      </c>
      <c r="T13" s="26">
        <f t="shared" si="6"/>
        <v>0</v>
      </c>
      <c r="U13" s="26">
        <f>(IF(AND((P13="OP"),(J13="Child (0-7 years)")),VLOOKUP(R13,'OP Values'!$A$1:$Q$35,7),))*I13</f>
        <v>0</v>
      </c>
      <c r="V13" s="26">
        <f>(IF(P13="OP",VLOOKUP($R13,'OP Values'!$A$1:$Q$35,17),))*I13</f>
        <v>0</v>
      </c>
      <c r="W13" s="26">
        <f>(IF(AND((P13="Pb"),(J13="Child (0-7 years)")),(VLOOKUP(R13,Pb!$C$2:$AV$103,11)),0))*I13</f>
        <v>0</v>
      </c>
      <c r="X13" s="26">
        <f>(IF(AND((P13="Pb"),(J13="Child (0-7 years)")),(VLOOKUP(R13,Pb!$C$2:$AV$103,20)),0))*I13</f>
        <v>0</v>
      </c>
      <c r="Y13" s="26">
        <f>(IF(AND((P13="Pb"),(J13="Adult (&gt; 15 years)")),(VLOOKUP(R13,Pb!$C$2:$AV$103,46)),0))*I13</f>
        <v>0</v>
      </c>
      <c r="Z13" s="26">
        <f>(IF(AND((P13="Hg"),(J13="Child (0-7 years)")),(VLOOKUP(R13,'Hg Values'!$A$1:$M$30,3)),0))*I13</f>
        <v>0</v>
      </c>
      <c r="AA13" s="26">
        <f>(IF(AND((P13="Hg"),(J13="Child (0-7 years)")),(VLOOKUP(R13,'Hg Values'!$A$1:$M$30,13)),0))*I13</f>
        <v>0</v>
      </c>
      <c r="AB13" s="5">
        <f>(((IF(AND((P13="CA"),(J13="Adult (&gt; 15 years)")),((R13*1)/70)*(VLOOKUP(K13,CA_ingestion!A$1:J$78,4,0)),0))))/11</f>
        <v>0</v>
      </c>
      <c r="AC13" s="5">
        <f t="shared" si="7"/>
        <v>0</v>
      </c>
      <c r="AD13" s="5">
        <f>((IF(AND((P13="CA"),(J13="Adult (&gt; 15 years)")),(AC13*(VLOOKUP(K13,CA_ingestion!A$1:J$78,10,0))),0)))</f>
        <v>0</v>
      </c>
      <c r="AE13" s="5">
        <f t="shared" si="8"/>
        <v>0</v>
      </c>
      <c r="AF13" s="5">
        <f t="shared" si="9"/>
        <v>0</v>
      </c>
    </row>
    <row r="14" spans="1:32" ht="15.5">
      <c r="A14" s="29"/>
      <c r="B14" s="29">
        <v>0</v>
      </c>
      <c r="C14" s="29" t="s">
        <v>369</v>
      </c>
      <c r="D14" s="29"/>
      <c r="E14" s="29"/>
      <c r="F14" s="26" t="str">
        <f>Summary!C$23</f>
        <v>Afghanistan</v>
      </c>
      <c r="G14" s="29"/>
      <c r="H14" s="29" t="s">
        <v>369</v>
      </c>
      <c r="I14" s="33">
        <f>VLOOKUP(H14,'List Data'!$A$100:$B$104,2,0)</f>
        <v>0</v>
      </c>
      <c r="J14" s="29" t="s">
        <v>213</v>
      </c>
      <c r="K14" s="29" t="s">
        <v>213</v>
      </c>
      <c r="L14" s="29">
        <v>0</v>
      </c>
      <c r="M14" s="37">
        <f>S14*Summary!$H$27</f>
        <v>0</v>
      </c>
      <c r="N14" s="37">
        <f>T14*Summary!$H$25</f>
        <v>0</v>
      </c>
      <c r="O14" s="34">
        <f>(VLOOKUP(C14,'List Data'!A$106:B$109,2,0))*B14</f>
        <v>0</v>
      </c>
      <c r="P14" s="26">
        <f>VLOOKUP(K14,'List Data'!A$2:C$94,3,0)</f>
        <v>0</v>
      </c>
      <c r="Q14" s="26" t="str">
        <f>VLOOKUP(K14,'List Data'!A$2:B$94,2,0)</f>
        <v>--------</v>
      </c>
      <c r="R14" s="26">
        <f t="shared" si="4"/>
        <v>0</v>
      </c>
      <c r="S14" s="26">
        <f t="shared" si="5"/>
        <v>0</v>
      </c>
      <c r="T14" s="26">
        <f t="shared" si="6"/>
        <v>0</v>
      </c>
      <c r="U14" s="26">
        <f>(IF(AND((P14="OP"),(J14="Child (0-7 years)")),VLOOKUP(R14,'OP Values'!$A$1:$Q$35,7),))*I14</f>
        <v>0</v>
      </c>
      <c r="V14" s="26">
        <f>(IF(P14="OP",VLOOKUP($R14,'OP Values'!$A$1:$Q$35,17),))*I14</f>
        <v>0</v>
      </c>
      <c r="W14" s="26">
        <f>(IF(AND((P14="Pb"),(J14="Child (0-7 years)")),(VLOOKUP(R14,Pb!$C$2:$AV$103,11)),0))*I14</f>
        <v>0</v>
      </c>
      <c r="X14" s="26">
        <f>(IF(AND((P14="Pb"),(J14="Child (0-7 years)")),(VLOOKUP(R14,Pb!$C$2:$AV$103,20)),0))*I14</f>
        <v>0</v>
      </c>
      <c r="Y14" s="26">
        <f>(IF(AND((P14="Pb"),(J14="Adult (&gt; 15 years)")),(VLOOKUP(R14,Pb!$C$2:$AV$103,46)),0))*I14</f>
        <v>0</v>
      </c>
      <c r="Z14" s="26">
        <f>(IF(AND((P14="Hg"),(J14="Child (0-7 years)")),(VLOOKUP(R14,'Hg Values'!$A$1:$M$30,3)),0))*I14</f>
        <v>0</v>
      </c>
      <c r="AA14" s="26">
        <f>(IF(AND((P14="Hg"),(J14="Child (0-7 years)")),(VLOOKUP(R14,'Hg Values'!$A$1:$M$30,13)),0))*I14</f>
        <v>0</v>
      </c>
      <c r="AB14" s="5">
        <f>(((IF(AND((P14="CA"),(J14="Adult (&gt; 15 years)")),((R14*1)/70)*(VLOOKUP(K14,CA_ingestion!A$1:J$78,4,0)),0))))/11</f>
        <v>0</v>
      </c>
      <c r="AC14" s="5">
        <f t="shared" si="7"/>
        <v>0</v>
      </c>
      <c r="AD14" s="5">
        <f>((IF(AND((P14="CA"),(J14="Adult (&gt; 15 years)")),(AC14*(VLOOKUP(K14,CA_ingestion!A$1:J$78,10,0))),0)))</f>
        <v>0</v>
      </c>
      <c r="AE14" s="5">
        <f t="shared" si="8"/>
        <v>0</v>
      </c>
      <c r="AF14" s="5">
        <f t="shared" si="9"/>
        <v>0</v>
      </c>
    </row>
    <row r="15" spans="1:32" ht="15.5">
      <c r="A15" s="29"/>
      <c r="B15" s="29">
        <v>0</v>
      </c>
      <c r="C15" s="29" t="s">
        <v>369</v>
      </c>
      <c r="D15" s="29"/>
      <c r="E15" s="29"/>
      <c r="F15" s="26" t="str">
        <f>Summary!C$23</f>
        <v>Afghanistan</v>
      </c>
      <c r="G15" s="29"/>
      <c r="H15" s="29" t="s">
        <v>369</v>
      </c>
      <c r="I15" s="33">
        <f>VLOOKUP(H15,'List Data'!$A$100:$B$104,2,0)</f>
        <v>0</v>
      </c>
      <c r="J15" s="29" t="s">
        <v>213</v>
      </c>
      <c r="K15" s="29" t="s">
        <v>213</v>
      </c>
      <c r="L15" s="29">
        <v>0</v>
      </c>
      <c r="M15" s="37">
        <f>S15*Summary!$H$27</f>
        <v>0</v>
      </c>
      <c r="N15" s="37">
        <f>T15*Summary!$H$25</f>
        <v>0</v>
      </c>
      <c r="O15" s="34">
        <f>(VLOOKUP(C15,'List Data'!A$106:B$109,2,0))*B15</f>
        <v>0</v>
      </c>
      <c r="P15" s="26">
        <f>VLOOKUP(K15,'List Data'!A$2:C$94,3,0)</f>
        <v>0</v>
      </c>
      <c r="Q15" s="26" t="str">
        <f>VLOOKUP(K15,'List Data'!A$2:B$94,2,0)</f>
        <v>--------</v>
      </c>
      <c r="R15" s="26">
        <f t="shared" si="4"/>
        <v>0</v>
      </c>
      <c r="S15" s="26">
        <f t="shared" si="5"/>
        <v>0</v>
      </c>
      <c r="T15" s="26">
        <f t="shared" si="6"/>
        <v>0</v>
      </c>
      <c r="U15" s="26">
        <f>(IF(AND((P15="OP"),(J15="Child (0-7 years)")),VLOOKUP(R15,'OP Values'!$A$1:$Q$35,7),))*I15</f>
        <v>0</v>
      </c>
      <c r="V15" s="26">
        <f>(IF(P15="OP",VLOOKUP($R15,'OP Values'!$A$1:$Q$35,17),))*I15</f>
        <v>0</v>
      </c>
      <c r="W15" s="26">
        <f>(IF(AND((P15="Pb"),(J15="Child (0-7 years)")),(VLOOKUP(R15,Pb!$C$2:$AV$103,11)),0))*I15</f>
        <v>0</v>
      </c>
      <c r="X15" s="26">
        <f>(IF(AND((P15="Pb"),(J15="Child (0-7 years)")),(VLOOKUP(R15,Pb!$C$2:$AV$103,20)),0))*I15</f>
        <v>0</v>
      </c>
      <c r="Y15" s="26">
        <f>(IF(AND((P15="Pb"),(J15="Adult (&gt; 15 years)")),(VLOOKUP(R15,Pb!$C$2:$AV$103,46)),0))*I15</f>
        <v>0</v>
      </c>
      <c r="Z15" s="26">
        <f>(IF(AND((P15="Hg"),(J15="Child (0-7 years)")),(VLOOKUP(R15,'Hg Values'!$A$1:$M$30,3)),0))*I15</f>
        <v>0</v>
      </c>
      <c r="AA15" s="26">
        <f>(IF(AND((P15="Hg"),(J15="Child (0-7 years)")),(VLOOKUP(R15,'Hg Values'!$A$1:$M$30,13)),0))*I15</f>
        <v>0</v>
      </c>
      <c r="AB15" s="5">
        <f>(((IF(AND((P15="CA"),(J15="Adult (&gt; 15 years)")),((R15*1)/70)*(VLOOKUP(K15,CA_ingestion!A$1:J$78,4,0)),0))))/11</f>
        <v>0</v>
      </c>
      <c r="AC15" s="5">
        <f t="shared" si="7"/>
        <v>0</v>
      </c>
      <c r="AD15" s="5">
        <f>((IF(AND((P15="CA"),(J15="Adult (&gt; 15 years)")),(AC15*(VLOOKUP(K15,CA_ingestion!A$1:J$78,10,0))),0)))</f>
        <v>0</v>
      </c>
      <c r="AE15" s="5">
        <f t="shared" si="8"/>
        <v>0</v>
      </c>
      <c r="AF15" s="5">
        <f t="shared" si="9"/>
        <v>0</v>
      </c>
    </row>
    <row r="16" spans="1:32" ht="15.5">
      <c r="A16" s="29"/>
      <c r="B16" s="29">
        <v>0</v>
      </c>
      <c r="C16" s="29" t="s">
        <v>369</v>
      </c>
      <c r="D16" s="29"/>
      <c r="E16" s="29"/>
      <c r="F16" s="26" t="str">
        <f>Summary!C$23</f>
        <v>Afghanistan</v>
      </c>
      <c r="G16" s="29"/>
      <c r="H16" s="29" t="s">
        <v>369</v>
      </c>
      <c r="I16" s="33">
        <f>VLOOKUP(H16,'List Data'!$A$100:$B$104,2,0)</f>
        <v>0</v>
      </c>
      <c r="J16" s="29" t="s">
        <v>213</v>
      </c>
      <c r="K16" s="29" t="s">
        <v>213</v>
      </c>
      <c r="L16" s="29">
        <v>0</v>
      </c>
      <c r="M16" s="37">
        <f>S16*Summary!$H$27</f>
        <v>0</v>
      </c>
      <c r="N16" s="37">
        <f>T16*Summary!$H$25</f>
        <v>0</v>
      </c>
      <c r="O16" s="34">
        <f>(VLOOKUP(C16,'List Data'!A$106:B$109,2,0))*B16</f>
        <v>0</v>
      </c>
      <c r="P16" s="26">
        <f>VLOOKUP(K16,'List Data'!A$2:C$94,3,0)</f>
        <v>0</v>
      </c>
      <c r="Q16" s="26" t="str">
        <f>VLOOKUP(K16,'List Data'!A$2:B$94,2,0)</f>
        <v>--------</v>
      </c>
      <c r="R16" s="26">
        <f t="shared" si="4"/>
        <v>0</v>
      </c>
      <c r="S16" s="26">
        <f t="shared" si="5"/>
        <v>0</v>
      </c>
      <c r="T16" s="26">
        <f t="shared" si="6"/>
        <v>0</v>
      </c>
      <c r="U16" s="26">
        <f>(IF(AND((P16="OP"),(J16="Child (0-7 years)")),VLOOKUP(R16,'OP Values'!$A$1:$Q$35,7),))*I16</f>
        <v>0</v>
      </c>
      <c r="V16" s="26">
        <f>(IF(P16="OP",VLOOKUP($R16,'OP Values'!$A$1:$Q$35,17),))*I16</f>
        <v>0</v>
      </c>
      <c r="W16" s="26">
        <f>(IF(AND((P16="Pb"),(J16="Child (0-7 years)")),(VLOOKUP(R16,Pb!$C$2:$AV$103,11)),0))*I16</f>
        <v>0</v>
      </c>
      <c r="X16" s="26">
        <f>(IF(AND((P16="Pb"),(J16="Child (0-7 years)")),(VLOOKUP(R16,Pb!$C$2:$AV$103,20)),0))*I16</f>
        <v>0</v>
      </c>
      <c r="Y16" s="26">
        <f>(IF(AND((P16="Pb"),(J16="Adult (&gt; 15 years)")),(VLOOKUP(R16,Pb!$C$2:$AV$103,46)),0))*I16</f>
        <v>0</v>
      </c>
      <c r="Z16" s="26">
        <f>(IF(AND((P16="Hg"),(J16="Child (0-7 years)")),(VLOOKUP(R16,'Hg Values'!$A$1:$M$30,3)),0))*I16</f>
        <v>0</v>
      </c>
      <c r="AA16" s="26">
        <f>(IF(AND((P16="Hg"),(J16="Child (0-7 years)")),(VLOOKUP(R16,'Hg Values'!$A$1:$M$30,13)),0))*I16</f>
        <v>0</v>
      </c>
      <c r="AB16" s="5">
        <f>(((IF(AND((P16="CA"),(J16="Adult (&gt; 15 years)")),((R16*1)/70)*(VLOOKUP(K16,CA_ingestion!A$1:J$78,4,0)),0))))/11</f>
        <v>0</v>
      </c>
      <c r="AC16" s="5">
        <f t="shared" si="7"/>
        <v>0</v>
      </c>
      <c r="AD16" s="5">
        <f>((IF(AND((P16="CA"),(J16="Adult (&gt; 15 years)")),(AC16*(VLOOKUP(K16,CA_ingestion!A$1:J$78,10,0))),0)))</f>
        <v>0</v>
      </c>
      <c r="AE16" s="5">
        <f t="shared" si="8"/>
        <v>0</v>
      </c>
      <c r="AF16" s="5">
        <f t="shared" si="9"/>
        <v>0</v>
      </c>
    </row>
    <row r="17" spans="1:32" ht="15.5">
      <c r="A17" s="29"/>
      <c r="B17" s="29">
        <v>0</v>
      </c>
      <c r="C17" s="29" t="s">
        <v>369</v>
      </c>
      <c r="D17" s="29"/>
      <c r="E17" s="29"/>
      <c r="F17" s="26" t="str">
        <f>Summary!C$23</f>
        <v>Afghanistan</v>
      </c>
      <c r="G17" s="29"/>
      <c r="H17" s="29" t="s">
        <v>369</v>
      </c>
      <c r="I17" s="33">
        <f>VLOOKUP(H17,'List Data'!$A$100:$B$104,2,0)</f>
        <v>0</v>
      </c>
      <c r="J17" s="29" t="s">
        <v>213</v>
      </c>
      <c r="K17" s="29" t="s">
        <v>213</v>
      </c>
      <c r="L17" s="29">
        <v>0</v>
      </c>
      <c r="M17" s="37">
        <f>S17*Summary!$H$27</f>
        <v>0</v>
      </c>
      <c r="N17" s="37">
        <f>T17*Summary!$H$25</f>
        <v>0</v>
      </c>
      <c r="O17" s="34">
        <f>(VLOOKUP(C17,'List Data'!A$106:B$109,2,0))*B17</f>
        <v>0</v>
      </c>
      <c r="P17" s="26">
        <f>VLOOKUP(K17,'List Data'!A$2:C$94,3,0)</f>
        <v>0</v>
      </c>
      <c r="Q17" s="26" t="str">
        <f>VLOOKUP(K17,'List Data'!A$2:B$94,2,0)</f>
        <v>--------</v>
      </c>
      <c r="R17" s="26">
        <f t="shared" si="4"/>
        <v>0</v>
      </c>
      <c r="S17" s="26">
        <f t="shared" si="5"/>
        <v>0</v>
      </c>
      <c r="T17" s="26">
        <f t="shared" si="6"/>
        <v>0</v>
      </c>
      <c r="U17" s="26">
        <f>(IF(AND((P17="OP"),(J17="Child (0-7 years)")),VLOOKUP(R17,'OP Values'!$A$1:$Q$35,7),))*I17</f>
        <v>0</v>
      </c>
      <c r="V17" s="26">
        <f>(IF(P17="OP",VLOOKUP($R17,'OP Values'!$A$1:$Q$35,17),))*I17</f>
        <v>0</v>
      </c>
      <c r="W17" s="26">
        <f>(IF(AND((P17="Pb"),(J17="Child (0-7 years)")),(VLOOKUP(R17,Pb!$C$2:$AV$103,11)),0))*I17</f>
        <v>0</v>
      </c>
      <c r="X17" s="26">
        <f>(IF(AND((P17="Pb"),(J17="Child (0-7 years)")),(VLOOKUP(R17,Pb!$C$2:$AV$103,20)),0))*I17</f>
        <v>0</v>
      </c>
      <c r="Y17" s="26">
        <f>(IF(AND((P17="Pb"),(J17="Adult (&gt; 15 years)")),(VLOOKUP(R17,Pb!$C$2:$AV$103,46)),0))*I17</f>
        <v>0</v>
      </c>
      <c r="Z17" s="26">
        <f>(IF(AND((P17="Hg"),(J17="Child (0-7 years)")),(VLOOKUP(R17,'Hg Values'!$A$1:$M$30,3)),0))*I17</f>
        <v>0</v>
      </c>
      <c r="AA17" s="26">
        <f>(IF(AND((P17="Hg"),(J17="Child (0-7 years)")),(VLOOKUP(R17,'Hg Values'!$A$1:$M$30,13)),0))*I17</f>
        <v>0</v>
      </c>
      <c r="AB17" s="5">
        <f>(((IF(AND((P17="CA"),(J17="Adult (&gt; 15 years)")),((R17*1)/70)*(VLOOKUP(K17,CA_ingestion!A$1:J$78,4,0)),0))))/11</f>
        <v>0</v>
      </c>
      <c r="AC17" s="5">
        <f t="shared" si="7"/>
        <v>0</v>
      </c>
      <c r="AD17" s="5">
        <f>((IF(AND((P17="CA"),(J17="Adult (&gt; 15 years)")),(AC17*(VLOOKUP(K17,CA_ingestion!A$1:J$78,10,0))),0)))</f>
        <v>0</v>
      </c>
      <c r="AE17" s="5">
        <f t="shared" si="8"/>
        <v>0</v>
      </c>
      <c r="AF17" s="5">
        <f t="shared" si="9"/>
        <v>0</v>
      </c>
    </row>
    <row r="18" spans="1:32" ht="15.5">
      <c r="A18" s="29"/>
      <c r="B18" s="29">
        <v>0</v>
      </c>
      <c r="C18" s="29" t="s">
        <v>369</v>
      </c>
      <c r="D18" s="29"/>
      <c r="E18" s="29"/>
      <c r="F18" s="26" t="str">
        <f>Summary!C$23</f>
        <v>Afghanistan</v>
      </c>
      <c r="G18" s="29"/>
      <c r="H18" s="29" t="s">
        <v>369</v>
      </c>
      <c r="I18" s="33">
        <f>VLOOKUP(H18,'List Data'!$A$100:$B$104,2,0)</f>
        <v>0</v>
      </c>
      <c r="J18" s="29" t="s">
        <v>213</v>
      </c>
      <c r="K18" s="29" t="s">
        <v>213</v>
      </c>
      <c r="L18" s="29">
        <v>0</v>
      </c>
      <c r="M18" s="37">
        <f>S18*Summary!$H$27</f>
        <v>0</v>
      </c>
      <c r="N18" s="37">
        <f>T18*Summary!$H$25</f>
        <v>0</v>
      </c>
      <c r="O18" s="34">
        <f>(VLOOKUP(C18,'List Data'!A$106:B$109,2,0))*B18</f>
        <v>0</v>
      </c>
      <c r="P18" s="26">
        <f>VLOOKUP(K18,'List Data'!A$2:C$94,3,0)</f>
        <v>0</v>
      </c>
      <c r="Q18" s="26" t="str">
        <f>VLOOKUP(K18,'List Data'!A$2:B$94,2,0)</f>
        <v>--------</v>
      </c>
      <c r="R18" s="26">
        <f t="shared" si="4"/>
        <v>0</v>
      </c>
      <c r="S18" s="26">
        <f t="shared" si="5"/>
        <v>0</v>
      </c>
      <c r="T18" s="26">
        <f t="shared" si="6"/>
        <v>0</v>
      </c>
      <c r="U18" s="26">
        <f>(IF(AND((P18="OP"),(J18="Child (0-7 years)")),VLOOKUP(R18,'OP Values'!$A$1:$Q$35,7),))*I18</f>
        <v>0</v>
      </c>
      <c r="V18" s="26">
        <f>(IF(P18="OP",VLOOKUP($R18,'OP Values'!$A$1:$Q$35,17),))*I18</f>
        <v>0</v>
      </c>
      <c r="W18" s="26">
        <f>(IF(AND((P18="Pb"),(J18="Child (0-7 years)")),(VLOOKUP(R18,Pb!$C$2:$AV$103,11)),0))*I18</f>
        <v>0</v>
      </c>
      <c r="X18" s="26">
        <f>(IF(AND((P18="Pb"),(J18="Child (0-7 years)")),(VLOOKUP(R18,Pb!$C$2:$AV$103,20)),0))*I18</f>
        <v>0</v>
      </c>
      <c r="Y18" s="26">
        <f>(IF(AND((P18="Pb"),(J18="Adult (&gt; 15 years)")),(VLOOKUP(R18,Pb!$C$2:$AV$103,46)),0))*I18</f>
        <v>0</v>
      </c>
      <c r="Z18" s="26">
        <f>(IF(AND((P18="Hg"),(J18="Child (0-7 years)")),(VLOOKUP(R18,'Hg Values'!$A$1:$M$30,3)),0))*I18</f>
        <v>0</v>
      </c>
      <c r="AA18" s="26">
        <f>(IF(AND((P18="Hg"),(J18="Child (0-7 years)")),(VLOOKUP(R18,'Hg Values'!$A$1:$M$30,13)),0))*I18</f>
        <v>0</v>
      </c>
      <c r="AB18" s="5">
        <f>(((IF(AND((P18="CA"),(J18="Adult (&gt; 15 years)")),((R18*1)/70)*(VLOOKUP(K18,CA_ingestion!A$1:J$78,4,0)),0))))/11</f>
        <v>0</v>
      </c>
      <c r="AC18" s="5">
        <f t="shared" si="7"/>
        <v>0</v>
      </c>
      <c r="AD18" s="5">
        <f>((IF(AND((P18="CA"),(J18="Adult (&gt; 15 years)")),(AC18*(VLOOKUP(K18,CA_ingestion!A$1:J$78,10,0))),0)))</f>
        <v>0</v>
      </c>
      <c r="AE18" s="5">
        <f t="shared" si="8"/>
        <v>0</v>
      </c>
      <c r="AF18" s="5">
        <f t="shared" si="9"/>
        <v>0</v>
      </c>
    </row>
    <row r="19" spans="1:32" ht="15.5">
      <c r="A19" s="29"/>
      <c r="B19" s="29">
        <v>0</v>
      </c>
      <c r="C19" s="29" t="s">
        <v>369</v>
      </c>
      <c r="D19" s="29"/>
      <c r="E19" s="29"/>
      <c r="F19" s="26" t="str">
        <f>Summary!C$23</f>
        <v>Afghanistan</v>
      </c>
      <c r="G19" s="29"/>
      <c r="H19" s="29" t="s">
        <v>369</v>
      </c>
      <c r="I19" s="33">
        <f>VLOOKUP(H19,'List Data'!$A$100:$B$104,2,0)</f>
        <v>0</v>
      </c>
      <c r="J19" s="29" t="s">
        <v>213</v>
      </c>
      <c r="K19" s="29" t="s">
        <v>213</v>
      </c>
      <c r="L19" s="29">
        <v>0</v>
      </c>
      <c r="M19" s="37">
        <f>S19*Summary!$H$27</f>
        <v>0</v>
      </c>
      <c r="N19" s="37">
        <f>T19*Summary!$H$25</f>
        <v>0</v>
      </c>
      <c r="O19" s="34">
        <f>(VLOOKUP(C19,'List Data'!A$106:B$109,2,0))*B19</f>
        <v>0</v>
      </c>
      <c r="P19" s="26">
        <f>VLOOKUP(K19,'List Data'!A$2:C$94,3,0)</f>
        <v>0</v>
      </c>
      <c r="Q19" s="26" t="str">
        <f>VLOOKUP(K19,'List Data'!A$2:B$94,2,0)</f>
        <v>--------</v>
      </c>
      <c r="R19" s="26">
        <f t="shared" si="4"/>
        <v>0</v>
      </c>
      <c r="S19" s="26">
        <f t="shared" si="5"/>
        <v>0</v>
      </c>
      <c r="T19" s="26">
        <f t="shared" si="6"/>
        <v>0</v>
      </c>
      <c r="U19" s="26">
        <f>(IF(AND((P19="OP"),(J19="Child (0-7 years)")),VLOOKUP(R19,'OP Values'!$A$1:$Q$35,7),))*I19</f>
        <v>0</v>
      </c>
      <c r="V19" s="26">
        <f>(IF(P19="OP",VLOOKUP($R19,'OP Values'!$A$1:$Q$35,17),))*I19</f>
        <v>0</v>
      </c>
      <c r="W19" s="26">
        <f>(IF(AND((P19="Pb"),(J19="Child (0-7 years)")),(VLOOKUP(R19,Pb!$C$2:$AV$103,11)),0))*I19</f>
        <v>0</v>
      </c>
      <c r="X19" s="26">
        <f>(IF(AND((P19="Pb"),(J19="Child (0-7 years)")),(VLOOKUP(R19,Pb!$C$2:$AV$103,20)),0))*I19</f>
        <v>0</v>
      </c>
      <c r="Y19" s="26">
        <f>(IF(AND((P19="Pb"),(J19="Adult (&gt; 15 years)")),(VLOOKUP(R19,Pb!$C$2:$AV$103,46)),0))*I19</f>
        <v>0</v>
      </c>
      <c r="Z19" s="26">
        <f>(IF(AND((P19="Hg"),(J19="Child (0-7 years)")),(VLOOKUP(R19,'Hg Values'!$A$1:$M$30,3)),0))*I19</f>
        <v>0</v>
      </c>
      <c r="AA19" s="26">
        <f>(IF(AND((P19="Hg"),(J19="Child (0-7 years)")),(VLOOKUP(R19,'Hg Values'!$A$1:$M$30,13)),0))*I19</f>
        <v>0</v>
      </c>
      <c r="AB19" s="5">
        <f>(((IF(AND((P19="CA"),(J19="Adult (&gt; 15 years)")),((R19*1)/70)*(VLOOKUP(K19,CA_ingestion!A$1:J$78,4,0)),0))))/11</f>
        <v>0</v>
      </c>
      <c r="AC19" s="5">
        <f t="shared" si="7"/>
        <v>0</v>
      </c>
      <c r="AD19" s="5">
        <f>((IF(AND((P19="CA"),(J19="Adult (&gt; 15 years)")),(AC19*(VLOOKUP(K19,CA_ingestion!A$1:J$78,10,0))),0)))</f>
        <v>0</v>
      </c>
      <c r="AE19" s="5">
        <f t="shared" si="8"/>
        <v>0</v>
      </c>
      <c r="AF19" s="5">
        <f t="shared" si="9"/>
        <v>0</v>
      </c>
    </row>
    <row r="20" spans="1:32" ht="15.5">
      <c r="A20" s="29"/>
      <c r="B20" s="29">
        <v>0</v>
      </c>
      <c r="C20" s="29" t="s">
        <v>369</v>
      </c>
      <c r="D20" s="29"/>
      <c r="E20" s="29"/>
      <c r="F20" s="26" t="str">
        <f>Summary!C$23</f>
        <v>Afghanistan</v>
      </c>
      <c r="G20" s="29"/>
      <c r="H20" s="29" t="s">
        <v>369</v>
      </c>
      <c r="I20" s="33">
        <f>VLOOKUP(H20,'List Data'!$A$100:$B$104,2,0)</f>
        <v>0</v>
      </c>
      <c r="J20" s="29" t="s">
        <v>213</v>
      </c>
      <c r="K20" s="29" t="s">
        <v>213</v>
      </c>
      <c r="L20" s="29">
        <v>0</v>
      </c>
      <c r="M20" s="37">
        <f>S20*Summary!$H$27</f>
        <v>0</v>
      </c>
      <c r="N20" s="37">
        <f>T20*Summary!$H$25</f>
        <v>0</v>
      </c>
      <c r="O20" s="34">
        <f>(VLOOKUP(C20,'List Data'!A$106:B$109,2,0))*B20</f>
        <v>0</v>
      </c>
      <c r="P20" s="26">
        <f>VLOOKUP(K20,'List Data'!A$2:C$94,3,0)</f>
        <v>0</v>
      </c>
      <c r="Q20" s="26" t="str">
        <f>VLOOKUP(K20,'List Data'!A$2:B$94,2,0)</f>
        <v>--------</v>
      </c>
      <c r="R20" s="26">
        <f t="shared" si="4"/>
        <v>0</v>
      </c>
      <c r="S20" s="26">
        <f t="shared" si="5"/>
        <v>0</v>
      </c>
      <c r="T20" s="26">
        <f t="shared" si="6"/>
        <v>0</v>
      </c>
      <c r="U20" s="26">
        <f>(IF(AND((P20="OP"),(J20="Child (0-7 years)")),VLOOKUP(R20,'OP Values'!$A$1:$Q$35,7),))*I20</f>
        <v>0</v>
      </c>
      <c r="V20" s="26">
        <f>(IF(P20="OP",VLOOKUP($R20,'OP Values'!$A$1:$Q$35,17),))*I20</f>
        <v>0</v>
      </c>
      <c r="W20" s="26">
        <f>(IF(AND((P20="Pb"),(J20="Child (0-7 years)")),(VLOOKUP(R20,Pb!$C$2:$AV$103,11)),0))*I20</f>
        <v>0</v>
      </c>
      <c r="X20" s="26">
        <f>(IF(AND((P20="Pb"),(J20="Child (0-7 years)")),(VLOOKUP(R20,Pb!$C$2:$AV$103,20)),0))*I20</f>
        <v>0</v>
      </c>
      <c r="Y20" s="26">
        <f>(IF(AND((P20="Pb"),(J20="Adult (&gt; 15 years)")),(VLOOKUP(R20,Pb!$C$2:$AV$103,46)),0))*I20</f>
        <v>0</v>
      </c>
      <c r="Z20" s="26">
        <f>(IF(AND((P20="Hg"),(J20="Child (0-7 years)")),(VLOOKUP(R20,'Hg Values'!$A$1:$M$30,3)),0))*I20</f>
        <v>0</v>
      </c>
      <c r="AA20" s="26">
        <f>(IF(AND((P20="Hg"),(J20="Child (0-7 years)")),(VLOOKUP(R20,'Hg Values'!$A$1:$M$30,13)),0))*I20</f>
        <v>0</v>
      </c>
      <c r="AB20" s="5">
        <f>(((IF(AND((P20="CA"),(J20="Adult (&gt; 15 years)")),((R20*1)/70)*(VLOOKUP(K20,CA_ingestion!A$1:J$78,4,0)),0))))/11</f>
        <v>0</v>
      </c>
      <c r="AC20" s="5">
        <f t="shared" si="7"/>
        <v>0</v>
      </c>
      <c r="AD20" s="5">
        <f>((IF(AND((P20="CA"),(J20="Adult (&gt; 15 years)")),(AC20*(VLOOKUP(K20,CA_ingestion!A$1:J$78,10,0))),0)))</f>
        <v>0</v>
      </c>
      <c r="AE20" s="5">
        <f t="shared" si="8"/>
        <v>0</v>
      </c>
      <c r="AF20" s="5">
        <f t="shared" si="9"/>
        <v>0</v>
      </c>
    </row>
    <row r="21" spans="1:32" ht="15" customHeight="1">
      <c r="A21" s="29"/>
      <c r="B21" s="29">
        <v>0</v>
      </c>
      <c r="C21" s="29" t="s">
        <v>369</v>
      </c>
      <c r="D21" s="29"/>
      <c r="E21" s="29"/>
      <c r="F21" s="26" t="str">
        <f>Summary!C$23</f>
        <v>Afghanistan</v>
      </c>
      <c r="G21" s="29"/>
      <c r="H21" s="29" t="s">
        <v>369</v>
      </c>
      <c r="I21" s="33">
        <f>VLOOKUP(H21,'List Data'!$A$100:$B$104,2,0)</f>
        <v>0</v>
      </c>
      <c r="J21" s="29" t="s">
        <v>213</v>
      </c>
      <c r="K21" s="29" t="s">
        <v>213</v>
      </c>
      <c r="L21" s="29">
        <v>0</v>
      </c>
      <c r="M21" s="37">
        <f>S21*Summary!$H$27</f>
        <v>0</v>
      </c>
      <c r="N21" s="37">
        <f>T21*Summary!$H$25</f>
        <v>0</v>
      </c>
      <c r="O21" s="34">
        <f>(VLOOKUP(C21,'List Data'!A$106:B$109,2,0))*B21</f>
        <v>0</v>
      </c>
      <c r="P21" s="26">
        <f>VLOOKUP(K21,'List Data'!A$2:C$94,3,0)</f>
        <v>0</v>
      </c>
      <c r="Q21" s="26" t="str">
        <f>VLOOKUP(K21,'List Data'!A$2:B$94,2,0)</f>
        <v>--------</v>
      </c>
      <c r="R21" s="26">
        <f t="shared" si="4"/>
        <v>0</v>
      </c>
      <c r="S21" s="26">
        <f t="shared" si="5"/>
        <v>0</v>
      </c>
      <c r="T21" s="26">
        <f t="shared" si="6"/>
        <v>0</v>
      </c>
      <c r="U21" s="26">
        <f>(IF(AND((P21="OP"),(J21="Child (0-7 years)")),VLOOKUP(R21,'OP Values'!$A$1:$Q$35,7),))*I21</f>
        <v>0</v>
      </c>
      <c r="V21" s="26">
        <f>(IF(P21="OP",VLOOKUP($R21,'OP Values'!$A$1:$Q$35,17),))*I21</f>
        <v>0</v>
      </c>
      <c r="W21" s="26">
        <f>(IF(AND((P21="Pb"),(J21="Child (0-7 years)")),(VLOOKUP(R21,Pb!$C$2:$AV$103,11)),0))*I21</f>
        <v>0</v>
      </c>
      <c r="X21" s="26">
        <f>(IF(AND((P21="Pb"),(J21="Child (0-7 years)")),(VLOOKUP(R21,Pb!$C$2:$AV$103,20)),0))*I21</f>
        <v>0</v>
      </c>
      <c r="Y21" s="26">
        <f>(IF(AND((P21="Pb"),(J21="Adult (&gt; 15 years)")),(VLOOKUP(R21,Pb!$C$2:$AV$103,46)),0))*I21</f>
        <v>0</v>
      </c>
      <c r="Z21" s="26">
        <f>(IF(AND((P21="Hg"),(J21="Child (0-7 years)")),(VLOOKUP(R21,'Hg Values'!$A$1:$M$30,3)),0))*I21</f>
        <v>0</v>
      </c>
      <c r="AA21" s="26">
        <f>(IF(AND((P21="Hg"),(J21="Child (0-7 years)")),(VLOOKUP(R21,'Hg Values'!$A$1:$M$30,13)),0))*I21</f>
        <v>0</v>
      </c>
      <c r="AB21" s="5">
        <f>(((IF(AND((P21="CA"),(J21="Adult (&gt; 15 years)")),((R21*1)/70)*(VLOOKUP(K21,CA_ingestion!A$1:J$78,4,0)),0))))/11</f>
        <v>0</v>
      </c>
      <c r="AC21" s="5">
        <f t="shared" si="7"/>
        <v>0</v>
      </c>
      <c r="AD21" s="5">
        <f>((IF(AND((P21="CA"),(J21="Adult (&gt; 15 years)")),(AC21*(VLOOKUP(K21,CA_ingestion!A$1:J$78,10,0))),0)))</f>
        <v>0</v>
      </c>
      <c r="AE21" s="5">
        <f t="shared" si="8"/>
        <v>0</v>
      </c>
      <c r="AF21" s="5">
        <f t="shared" si="9"/>
        <v>0</v>
      </c>
    </row>
    <row r="22" spans="1:32" ht="15" customHeight="1">
      <c r="A22" s="29"/>
      <c r="B22" s="29">
        <v>0</v>
      </c>
      <c r="C22" s="29" t="s">
        <v>369</v>
      </c>
      <c r="D22" s="29"/>
      <c r="E22" s="29"/>
      <c r="F22" s="26" t="str">
        <f>Summary!C$23</f>
        <v>Afghanistan</v>
      </c>
      <c r="G22" s="29"/>
      <c r="H22" s="29" t="s">
        <v>369</v>
      </c>
      <c r="I22" s="33">
        <f>VLOOKUP(H22,'List Data'!$A$100:$B$104,2,0)</f>
        <v>0</v>
      </c>
      <c r="J22" s="29" t="s">
        <v>213</v>
      </c>
      <c r="K22" s="29" t="s">
        <v>213</v>
      </c>
      <c r="L22" s="29">
        <v>0</v>
      </c>
      <c r="M22" s="37">
        <f>S22*Summary!$H$27</f>
        <v>0</v>
      </c>
      <c r="N22" s="37">
        <f>T22*Summary!$H$25</f>
        <v>0</v>
      </c>
      <c r="O22" s="34">
        <f>(VLOOKUP(C22,'List Data'!A$106:B$109,2,0))*B22</f>
        <v>0</v>
      </c>
      <c r="P22" s="26">
        <f>VLOOKUP(K22,'List Data'!A$2:C$94,3,0)</f>
        <v>0</v>
      </c>
      <c r="Q22" s="26" t="str">
        <f>VLOOKUP(K22,'List Data'!A$2:B$94,2,0)</f>
        <v>--------</v>
      </c>
      <c r="R22" s="26">
        <f t="shared" si="4"/>
        <v>0</v>
      </c>
      <c r="S22" s="26">
        <f t="shared" si="5"/>
        <v>0</v>
      </c>
      <c r="T22" s="26">
        <f t="shared" si="6"/>
        <v>0</v>
      </c>
      <c r="U22" s="26">
        <f>(IF(AND((P22="OP"),(J22="Child (0-7 years)")),VLOOKUP(R22,'OP Values'!$A$1:$Q$35,7),))*I22</f>
        <v>0</v>
      </c>
      <c r="V22" s="26">
        <f>(IF(P22="OP",VLOOKUP($R22,'OP Values'!$A$1:$Q$35,17),))*I22</f>
        <v>0</v>
      </c>
      <c r="W22" s="26">
        <f>(IF(AND((P22="Pb"),(J22="Child (0-7 years)")),(VLOOKUP(R22,Pb!$C$2:$AV$103,11)),0))*I22</f>
        <v>0</v>
      </c>
      <c r="X22" s="26">
        <f>(IF(AND((P22="Pb"),(J22="Child (0-7 years)")),(VLOOKUP(R22,Pb!$C$2:$AV$103,20)),0))*I22</f>
        <v>0</v>
      </c>
      <c r="Y22" s="26">
        <f>(IF(AND((P22="Pb"),(J22="Adult (&gt; 15 years)")),(VLOOKUP(R22,Pb!$C$2:$AV$103,46)),0))*I22</f>
        <v>0</v>
      </c>
      <c r="Z22" s="26">
        <f>(IF(AND((P22="Hg"),(J22="Child (0-7 years)")),(VLOOKUP(R22,'Hg Values'!$A$1:$M$30,3)),0))*I22</f>
        <v>0</v>
      </c>
      <c r="AA22" s="26">
        <f>(IF(AND((P22="Hg"),(J22="Child (0-7 years)")),(VLOOKUP(R22,'Hg Values'!$A$1:$M$30,13)),0))*I22</f>
        <v>0</v>
      </c>
      <c r="AB22" s="5">
        <f>(((IF(AND((P22="CA"),(J22="Adult (&gt; 15 years)")),((R22*1)/70)*(VLOOKUP(K22,CA_ingestion!A$1:J$78,4,0)),0))))/11</f>
        <v>0</v>
      </c>
      <c r="AC22" s="5">
        <f t="shared" si="7"/>
        <v>0</v>
      </c>
      <c r="AD22" s="5">
        <f>((IF(AND((P22="CA"),(J22="Adult (&gt; 15 years)")),(AC22*(VLOOKUP(K22,CA_ingestion!A$1:J$78,10,0))),0)))</f>
        <v>0</v>
      </c>
      <c r="AE22" s="5">
        <f t="shared" si="8"/>
        <v>0</v>
      </c>
      <c r="AF22" s="5">
        <f t="shared" si="9"/>
        <v>0</v>
      </c>
    </row>
    <row r="23" spans="1:32" ht="15.5">
      <c r="A23" s="29"/>
      <c r="B23" s="29">
        <v>0</v>
      </c>
      <c r="C23" s="29" t="s">
        <v>369</v>
      </c>
      <c r="D23" s="29"/>
      <c r="E23" s="29"/>
      <c r="F23" s="26" t="str">
        <f>Summary!C$23</f>
        <v>Afghanistan</v>
      </c>
      <c r="G23" s="29"/>
      <c r="H23" s="29" t="s">
        <v>369</v>
      </c>
      <c r="I23" s="33">
        <f>VLOOKUP(H23,'List Data'!$A$100:$B$104,2,0)</f>
        <v>0</v>
      </c>
      <c r="J23" s="29" t="s">
        <v>213</v>
      </c>
      <c r="K23" s="29" t="s">
        <v>213</v>
      </c>
      <c r="L23" s="29">
        <v>0</v>
      </c>
      <c r="M23" s="37">
        <f>S23*Summary!$H$27</f>
        <v>0</v>
      </c>
      <c r="N23" s="37">
        <f>T23*Summary!$H$25</f>
        <v>0</v>
      </c>
      <c r="O23" s="34">
        <f>(VLOOKUP(C23,'List Data'!A$106:B$109,2,0))*B23</f>
        <v>0</v>
      </c>
      <c r="P23" s="26">
        <f>VLOOKUP(K23,'List Data'!A$2:C$94,3,0)</f>
        <v>0</v>
      </c>
      <c r="Q23" s="26" t="str">
        <f>VLOOKUP(K23,'List Data'!A$2:B$94,2,0)</f>
        <v>--------</v>
      </c>
      <c r="R23" s="26">
        <f t="shared" si="4"/>
        <v>0</v>
      </c>
      <c r="S23" s="26">
        <f t="shared" si="5"/>
        <v>0</v>
      </c>
      <c r="T23" s="26">
        <f t="shared" si="6"/>
        <v>0</v>
      </c>
      <c r="U23" s="26">
        <f>(IF(AND((P23="OP"),(J23="Child (0-7 years)")),VLOOKUP(R23,'OP Values'!$A$1:$Q$35,7),))*I23</f>
        <v>0</v>
      </c>
      <c r="V23" s="26">
        <f>(IF(P23="OP",VLOOKUP($R23,'OP Values'!$A$1:$Q$35,17),))*I23</f>
        <v>0</v>
      </c>
      <c r="W23" s="26">
        <f>(IF(AND((P23="Pb"),(J23="Child (0-7 years)")),(VLOOKUP(R23,Pb!$C$2:$AV$103,11)),0))*I23</f>
        <v>0</v>
      </c>
      <c r="X23" s="26">
        <f>(IF(AND((P23="Pb"),(J23="Child (0-7 years)")),(VLOOKUP(R23,Pb!$C$2:$AV$103,20)),0))*I23</f>
        <v>0</v>
      </c>
      <c r="Y23" s="26">
        <f>(IF(AND((P23="Pb"),(J23="Adult (&gt; 15 years)")),(VLOOKUP(R23,Pb!$C$2:$AV$103,46)),0))*I23</f>
        <v>0</v>
      </c>
      <c r="Z23" s="26">
        <f>(IF(AND((P23="Hg"),(J23="Child (0-7 years)")),(VLOOKUP(R23,'Hg Values'!$A$1:$M$30,3)),0))*I23</f>
        <v>0</v>
      </c>
      <c r="AA23" s="26">
        <f>(IF(AND((P23="Hg"),(J23="Child (0-7 years)")),(VLOOKUP(R23,'Hg Values'!$A$1:$M$30,13)),0))*I23</f>
        <v>0</v>
      </c>
      <c r="AB23" s="5">
        <f>(((IF(AND((P23="CA"),(J23="Adult (&gt; 15 years)")),((R23*1)/70)*(VLOOKUP(K23,CA_ingestion!A$1:J$78,4,0)),0))))/11</f>
        <v>0</v>
      </c>
      <c r="AC23" s="5">
        <f t="shared" si="7"/>
        <v>0</v>
      </c>
      <c r="AD23" s="5">
        <f>((IF(AND((P23="CA"),(J23="Adult (&gt; 15 years)")),(AC23*(VLOOKUP(K23,CA_ingestion!A$1:J$78,10,0))),0)))</f>
        <v>0</v>
      </c>
      <c r="AE23" s="5">
        <f t="shared" si="8"/>
        <v>0</v>
      </c>
      <c r="AF23" s="5">
        <f t="shared" si="9"/>
        <v>0</v>
      </c>
    </row>
    <row r="24" spans="1:32" ht="15.5">
      <c r="A24" s="29"/>
      <c r="B24" s="29">
        <v>0</v>
      </c>
      <c r="C24" s="29" t="s">
        <v>369</v>
      </c>
      <c r="D24" s="29"/>
      <c r="E24" s="29"/>
      <c r="F24" s="26" t="str">
        <f>Summary!C$23</f>
        <v>Afghanistan</v>
      </c>
      <c r="G24" s="29"/>
      <c r="H24" s="29" t="s">
        <v>369</v>
      </c>
      <c r="I24" s="33">
        <f>VLOOKUP(H24,'List Data'!$A$100:$B$104,2,0)</f>
        <v>0</v>
      </c>
      <c r="J24" s="29" t="s">
        <v>213</v>
      </c>
      <c r="K24" s="29" t="s">
        <v>213</v>
      </c>
      <c r="L24" s="29">
        <v>0</v>
      </c>
      <c r="M24" s="37">
        <f>S24*Summary!$H$27</f>
        <v>0</v>
      </c>
      <c r="N24" s="37">
        <f>T24*Summary!$H$25</f>
        <v>0</v>
      </c>
      <c r="O24" s="34">
        <f>(VLOOKUP(C24,'List Data'!A$106:B$109,2,0))*B24</f>
        <v>0</v>
      </c>
      <c r="P24" s="26">
        <f>VLOOKUP(K24,'List Data'!A$2:C$94,3,0)</f>
        <v>0</v>
      </c>
      <c r="Q24" s="26" t="str">
        <f>VLOOKUP(K24,'List Data'!A$2:B$94,2,0)</f>
        <v>--------</v>
      </c>
      <c r="R24" s="26">
        <f t="shared" si="4"/>
        <v>0</v>
      </c>
      <c r="S24" s="26">
        <f t="shared" si="5"/>
        <v>0</v>
      </c>
      <c r="T24" s="26">
        <f t="shared" si="6"/>
        <v>0</v>
      </c>
      <c r="U24" s="26">
        <f>(IF(AND((P24="OP"),(J24="Child (0-7 years)")),VLOOKUP(R24,'OP Values'!$A$1:$Q$35,7),))*I24</f>
        <v>0</v>
      </c>
      <c r="V24" s="26">
        <f>(IF(P24="OP",VLOOKUP($R24,'OP Values'!$A$1:$Q$35,17),))*I24</f>
        <v>0</v>
      </c>
      <c r="W24" s="26">
        <f>(IF(AND((P24="Pb"),(J24="Child (0-7 years)")),(VLOOKUP(R24,Pb!$C$2:$AV$103,11)),0))*I24</f>
        <v>0</v>
      </c>
      <c r="X24" s="26">
        <f>(IF(AND((P24="Pb"),(J24="Child (0-7 years)")),(VLOOKUP(R24,Pb!$C$2:$AV$103,20)),0))*I24</f>
        <v>0</v>
      </c>
      <c r="Y24" s="26">
        <f>(IF(AND((P24="Pb"),(J24="Adult (&gt; 15 years)")),(VLOOKUP(R24,Pb!$C$2:$AV$103,46)),0))*I24</f>
        <v>0</v>
      </c>
      <c r="Z24" s="26">
        <f>(IF(AND((P24="Hg"),(J24="Child (0-7 years)")),(VLOOKUP(R24,'Hg Values'!$A$1:$M$30,3)),0))*I24</f>
        <v>0</v>
      </c>
      <c r="AA24" s="26">
        <f>(IF(AND((P24="Hg"),(J24="Child (0-7 years)")),(VLOOKUP(R24,'Hg Values'!$A$1:$M$30,13)),0))*I24</f>
        <v>0</v>
      </c>
      <c r="AB24" s="5">
        <f>(((IF(AND((P24="CA"),(J24="Adult (&gt; 15 years)")),((R24*1)/70)*(VLOOKUP(K24,CA_ingestion!A$1:J$78,4,0)),0))))/11</f>
        <v>0</v>
      </c>
      <c r="AC24" s="5">
        <f t="shared" si="7"/>
        <v>0</v>
      </c>
      <c r="AD24" s="5">
        <f>((IF(AND((P24="CA"),(J24="Adult (&gt; 15 years)")),(AC24*(VLOOKUP(K24,CA_ingestion!A$1:J$78,10,0))),0)))</f>
        <v>0</v>
      </c>
      <c r="AE24" s="5">
        <f t="shared" si="8"/>
        <v>0</v>
      </c>
      <c r="AF24" s="5">
        <f t="shared" si="9"/>
        <v>0</v>
      </c>
    </row>
    <row r="25" spans="1:32" ht="15.5">
      <c r="A25" s="29"/>
      <c r="B25" s="29">
        <v>0</v>
      </c>
      <c r="C25" s="29" t="s">
        <v>369</v>
      </c>
      <c r="D25" s="29"/>
      <c r="E25" s="29"/>
      <c r="F25" s="26" t="str">
        <f>Summary!C$23</f>
        <v>Afghanistan</v>
      </c>
      <c r="G25" s="29"/>
      <c r="H25" s="29" t="s">
        <v>369</v>
      </c>
      <c r="I25" s="33">
        <f>VLOOKUP(H25,'List Data'!$A$100:$B$104,2,0)</f>
        <v>0</v>
      </c>
      <c r="J25" s="29" t="s">
        <v>213</v>
      </c>
      <c r="K25" s="29" t="s">
        <v>213</v>
      </c>
      <c r="L25" s="29">
        <v>0</v>
      </c>
      <c r="M25" s="37">
        <f>S25*Summary!$H$27</f>
        <v>0</v>
      </c>
      <c r="N25" s="37">
        <f>T25*Summary!$H$25</f>
        <v>0</v>
      </c>
      <c r="O25" s="34">
        <f>(VLOOKUP(C25,'List Data'!A$106:B$109,2,0))*B25</f>
        <v>0</v>
      </c>
      <c r="P25" s="26">
        <f>VLOOKUP(K25,'List Data'!A$2:C$94,3,0)</f>
        <v>0</v>
      </c>
      <c r="Q25" s="26" t="str">
        <f>VLOOKUP(K25,'List Data'!A$2:B$94,2,0)</f>
        <v>--------</v>
      </c>
      <c r="R25" s="26">
        <f t="shared" si="4"/>
        <v>0</v>
      </c>
      <c r="S25" s="26">
        <f t="shared" si="5"/>
        <v>0</v>
      </c>
      <c r="T25" s="26">
        <f t="shared" si="6"/>
        <v>0</v>
      </c>
      <c r="U25" s="26">
        <f>(IF(AND((P25="OP"),(J25="Child (0-7 years)")),VLOOKUP(R25,'OP Values'!$A$1:$Q$35,7),))*I25</f>
        <v>0</v>
      </c>
      <c r="V25" s="26">
        <f>(IF(P25="OP",VLOOKUP($R25,'OP Values'!$A$1:$Q$35,17),))*I25</f>
        <v>0</v>
      </c>
      <c r="W25" s="26">
        <f>(IF(AND((P25="Pb"),(J25="Child (0-7 years)")),(VLOOKUP(R25,Pb!$C$2:$AV$103,11)),0))*I25</f>
        <v>0</v>
      </c>
      <c r="X25" s="26">
        <f>(IF(AND((P25="Pb"),(J25="Child (0-7 years)")),(VLOOKUP(R25,Pb!$C$2:$AV$103,20)),0))*I25</f>
        <v>0</v>
      </c>
      <c r="Y25" s="26">
        <f>(IF(AND((P25="Pb"),(J25="Adult (&gt; 15 years)")),(VLOOKUP(R25,Pb!$C$2:$AV$103,46)),0))*I25</f>
        <v>0</v>
      </c>
      <c r="Z25" s="26">
        <f>(IF(AND((P25="Hg"),(J25="Child (0-7 years)")),(VLOOKUP(R25,'Hg Values'!$A$1:$M$30,3)),0))*I25</f>
        <v>0</v>
      </c>
      <c r="AA25" s="26">
        <f>(IF(AND((P25="Hg"),(J25="Child (0-7 years)")),(VLOOKUP(R25,'Hg Values'!$A$1:$M$30,13)),0))*I25</f>
        <v>0</v>
      </c>
      <c r="AB25" s="5">
        <f>(((IF(AND((P25="CA"),(J25="Adult (&gt; 15 years)")),((R25*1)/70)*(VLOOKUP(K25,CA_ingestion!A$1:J$78,4,0)),0))))/11</f>
        <v>0</v>
      </c>
      <c r="AC25" s="5">
        <f t="shared" si="7"/>
        <v>0</v>
      </c>
      <c r="AD25" s="5">
        <f>((IF(AND((P25="CA"),(J25="Adult (&gt; 15 years)")),(AC25*(VLOOKUP(K25,CA_ingestion!A$1:J$78,10,0))),0)))</f>
        <v>0</v>
      </c>
      <c r="AE25" s="5">
        <f t="shared" si="8"/>
        <v>0</v>
      </c>
      <c r="AF25" s="5">
        <f t="shared" si="9"/>
        <v>0</v>
      </c>
    </row>
    <row r="26" spans="1:32" ht="15.5">
      <c r="A26" s="29"/>
      <c r="B26" s="29">
        <v>0</v>
      </c>
      <c r="C26" s="29" t="s">
        <v>369</v>
      </c>
      <c r="D26" s="29"/>
      <c r="E26" s="29"/>
      <c r="F26" s="26" t="str">
        <f>Summary!C$23</f>
        <v>Afghanistan</v>
      </c>
      <c r="G26" s="29"/>
      <c r="H26" s="29" t="s">
        <v>369</v>
      </c>
      <c r="I26" s="33">
        <f>VLOOKUP(H26,'List Data'!$A$100:$B$104,2,0)</f>
        <v>0</v>
      </c>
      <c r="J26" s="29" t="s">
        <v>213</v>
      </c>
      <c r="K26" s="29" t="s">
        <v>213</v>
      </c>
      <c r="L26" s="29">
        <v>0</v>
      </c>
      <c r="M26" s="37">
        <f>S26*Summary!$H$27</f>
        <v>0</v>
      </c>
      <c r="N26" s="37">
        <f>T26*Summary!$H$25</f>
        <v>0</v>
      </c>
      <c r="O26" s="34">
        <f>(VLOOKUP(C26,'List Data'!A$106:B$109,2,0))*B26</f>
        <v>0</v>
      </c>
      <c r="P26" s="26">
        <f>VLOOKUP(K26,'List Data'!A$2:C$94,3,0)</f>
        <v>0</v>
      </c>
      <c r="Q26" s="26" t="str">
        <f>VLOOKUP(K26,'List Data'!A$2:B$94,2,0)</f>
        <v>--------</v>
      </c>
      <c r="R26" s="26">
        <f t="shared" si="4"/>
        <v>0</v>
      </c>
      <c r="S26" s="26">
        <f t="shared" si="5"/>
        <v>0</v>
      </c>
      <c r="T26" s="26">
        <f t="shared" si="6"/>
        <v>0</v>
      </c>
      <c r="U26" s="26">
        <f>(IF(AND((P26="OP"),(J26="Child (0-7 years)")),VLOOKUP(R26,'OP Values'!$A$1:$Q$35,7),))*I26</f>
        <v>0</v>
      </c>
      <c r="V26" s="26">
        <f>(IF(P26="OP",VLOOKUP($R26,'OP Values'!$A$1:$Q$35,17),))*I26</f>
        <v>0</v>
      </c>
      <c r="W26" s="26">
        <f>(IF(AND((P26="Pb"),(J26="Child (0-7 years)")),(VLOOKUP(R26,Pb!$C$2:$AV$103,11)),0))*I26</f>
        <v>0</v>
      </c>
      <c r="X26" s="26">
        <f>(IF(AND((P26="Pb"),(J26="Child (0-7 years)")),(VLOOKUP(R26,Pb!$C$2:$AV$103,20)),0))*I26</f>
        <v>0</v>
      </c>
      <c r="Y26" s="26">
        <f>(IF(AND((P26="Pb"),(J26="Adult (&gt; 15 years)")),(VLOOKUP(R26,Pb!$C$2:$AV$103,46)),0))*I26</f>
        <v>0</v>
      </c>
      <c r="Z26" s="26">
        <f>(IF(AND((P26="Hg"),(J26="Child (0-7 years)")),(VLOOKUP(R26,'Hg Values'!$A$1:$M$30,3)),0))*I26</f>
        <v>0</v>
      </c>
      <c r="AA26" s="26">
        <f>(IF(AND((P26="Hg"),(J26="Child (0-7 years)")),(VLOOKUP(R26,'Hg Values'!$A$1:$M$30,13)),0))*I26</f>
        <v>0</v>
      </c>
      <c r="AB26" s="5">
        <f>(((IF(AND((P26="CA"),(J26="Adult (&gt; 15 years)")),((R26*1)/70)*(VLOOKUP(K26,CA_ingestion!A$1:J$78,4,0)),0))))/11</f>
        <v>0</v>
      </c>
      <c r="AC26" s="5">
        <f t="shared" si="7"/>
        <v>0</v>
      </c>
      <c r="AD26" s="5">
        <f>((IF(AND((P26="CA"),(J26="Adult (&gt; 15 years)")),(AC26*(VLOOKUP(K26,CA_ingestion!A$1:J$78,10,0))),0)))</f>
        <v>0</v>
      </c>
      <c r="AE26" s="5">
        <f t="shared" si="8"/>
        <v>0</v>
      </c>
      <c r="AF26" s="5">
        <f t="shared" si="9"/>
        <v>0</v>
      </c>
    </row>
    <row r="27" spans="1:32" ht="15.5">
      <c r="A27" s="29"/>
      <c r="B27" s="29">
        <v>0</v>
      </c>
      <c r="C27" s="29" t="s">
        <v>369</v>
      </c>
      <c r="D27" s="29"/>
      <c r="E27" s="29"/>
      <c r="F27" s="26" t="str">
        <f>Summary!C$23</f>
        <v>Afghanistan</v>
      </c>
      <c r="G27" s="29"/>
      <c r="H27" s="29" t="s">
        <v>369</v>
      </c>
      <c r="I27" s="33">
        <f>VLOOKUP(H27,'List Data'!$A$100:$B$104,2,0)</f>
        <v>0</v>
      </c>
      <c r="J27" s="29" t="s">
        <v>213</v>
      </c>
      <c r="K27" s="29" t="s">
        <v>213</v>
      </c>
      <c r="L27" s="29">
        <v>0</v>
      </c>
      <c r="M27" s="37">
        <f>S27*Summary!$H$27</f>
        <v>0</v>
      </c>
      <c r="N27" s="37">
        <f>T27*Summary!$H$25</f>
        <v>0</v>
      </c>
      <c r="O27" s="34">
        <f>(VLOOKUP(C27,'List Data'!A$106:B$109,2,0))*B27</f>
        <v>0</v>
      </c>
      <c r="P27" s="26">
        <f>VLOOKUP(K27,'List Data'!A$2:C$94,3,0)</f>
        <v>0</v>
      </c>
      <c r="Q27" s="26" t="str">
        <f>VLOOKUP(K27,'List Data'!A$2:B$94,2,0)</f>
        <v>--------</v>
      </c>
      <c r="R27" s="26">
        <f t="shared" si="4"/>
        <v>0</v>
      </c>
      <c r="S27" s="26">
        <f t="shared" si="5"/>
        <v>0</v>
      </c>
      <c r="T27" s="26">
        <f t="shared" si="6"/>
        <v>0</v>
      </c>
      <c r="U27" s="26">
        <f>(IF(AND((P27="OP"),(J27="Child (0-7 years)")),VLOOKUP(R27,'OP Values'!$A$1:$Q$35,7),))*I27</f>
        <v>0</v>
      </c>
      <c r="V27" s="26">
        <f>(IF(P27="OP",VLOOKUP($R27,'OP Values'!$A$1:$Q$35,17),))*I27</f>
        <v>0</v>
      </c>
      <c r="W27" s="26">
        <f>(IF(AND((P27="Pb"),(J27="Child (0-7 years)")),(VLOOKUP(R27,Pb!$C$2:$AV$103,11)),0))*I27</f>
        <v>0</v>
      </c>
      <c r="X27" s="26">
        <f>(IF(AND((P27="Pb"),(J27="Child (0-7 years)")),(VLOOKUP(R27,Pb!$C$2:$AV$103,20)),0))*I27</f>
        <v>0</v>
      </c>
      <c r="Y27" s="26">
        <f>(IF(AND((P27="Pb"),(J27="Adult (&gt; 15 years)")),(VLOOKUP(R27,Pb!$C$2:$AV$103,46)),0))*I27</f>
        <v>0</v>
      </c>
      <c r="Z27" s="26">
        <f>(IF(AND((P27="Hg"),(J27="Child (0-7 years)")),(VLOOKUP(R27,'Hg Values'!$A$1:$M$30,3)),0))*I27</f>
        <v>0</v>
      </c>
      <c r="AA27" s="26">
        <f>(IF(AND((P27="Hg"),(J27="Child (0-7 years)")),(VLOOKUP(R27,'Hg Values'!$A$1:$M$30,13)),0))*I27</f>
        <v>0</v>
      </c>
      <c r="AB27" s="5">
        <f>(((IF(AND((P27="CA"),(J27="Adult (&gt; 15 years)")),((R27*1)/70)*(VLOOKUP(K27,CA_ingestion!A$1:J$78,4,0)),0))))/11</f>
        <v>0</v>
      </c>
      <c r="AC27" s="5">
        <f t="shared" si="7"/>
        <v>0</v>
      </c>
      <c r="AD27" s="5">
        <f>((IF(AND((P27="CA"),(J27="Adult (&gt; 15 years)")),(AC27*(VLOOKUP(K27,CA_ingestion!A$1:J$78,10,0))),0)))</f>
        <v>0</v>
      </c>
      <c r="AE27" s="5">
        <f t="shared" si="8"/>
        <v>0</v>
      </c>
      <c r="AF27" s="5">
        <f t="shared" si="9"/>
        <v>0</v>
      </c>
    </row>
    <row r="28" spans="1:32" ht="15.5">
      <c r="A28" s="29"/>
      <c r="B28" s="29">
        <v>0</v>
      </c>
      <c r="C28" s="29" t="s">
        <v>369</v>
      </c>
      <c r="D28" s="29"/>
      <c r="E28" s="29"/>
      <c r="F28" s="26" t="str">
        <f>Summary!C$23</f>
        <v>Afghanistan</v>
      </c>
      <c r="G28" s="29"/>
      <c r="H28" s="29" t="s">
        <v>369</v>
      </c>
      <c r="I28" s="33">
        <f>VLOOKUP(H28,'List Data'!$A$100:$B$104,2,0)</f>
        <v>0</v>
      </c>
      <c r="J28" s="29" t="s">
        <v>213</v>
      </c>
      <c r="K28" s="29" t="s">
        <v>213</v>
      </c>
      <c r="L28" s="29">
        <v>0</v>
      </c>
      <c r="M28" s="37">
        <f>S28*Summary!$H$27</f>
        <v>0</v>
      </c>
      <c r="N28" s="37">
        <f>T28*Summary!$H$25</f>
        <v>0</v>
      </c>
      <c r="O28" s="34">
        <f>(VLOOKUP(C28,'List Data'!A$106:B$109,2,0))*B28</f>
        <v>0</v>
      </c>
      <c r="P28" s="26">
        <f>VLOOKUP(K28,'List Data'!A$2:C$94,3,0)</f>
        <v>0</v>
      </c>
      <c r="Q28" s="26" t="str">
        <f>VLOOKUP(K28,'List Data'!A$2:B$94,2,0)</f>
        <v>--------</v>
      </c>
      <c r="R28" s="26">
        <f t="shared" si="4"/>
        <v>0</v>
      </c>
      <c r="S28" s="26">
        <f t="shared" si="5"/>
        <v>0</v>
      </c>
      <c r="T28" s="26">
        <f t="shared" si="6"/>
        <v>0</v>
      </c>
      <c r="U28" s="26">
        <f>(IF(AND((P28="OP"),(J28="Child (0-7 years)")),VLOOKUP(R28,'OP Values'!$A$1:$Q$35,7),))*I28</f>
        <v>0</v>
      </c>
      <c r="V28" s="26">
        <f>(IF(P28="OP",VLOOKUP($R28,'OP Values'!$A$1:$Q$35,17),))*I28</f>
        <v>0</v>
      </c>
      <c r="W28" s="26">
        <f>(IF(AND((P28="Pb"),(J28="Child (0-7 years)")),(VLOOKUP(R28,Pb!$C$2:$AV$103,11)),0))*I28</f>
        <v>0</v>
      </c>
      <c r="X28" s="26">
        <f>(IF(AND((P28="Pb"),(J28="Child (0-7 years)")),(VLOOKUP(R28,Pb!$C$2:$AV$103,20)),0))*I28</f>
        <v>0</v>
      </c>
      <c r="Y28" s="26">
        <f>(IF(AND((P28="Pb"),(J28="Adult (&gt; 15 years)")),(VLOOKUP(R28,Pb!$C$2:$AV$103,46)),0))*I28</f>
        <v>0</v>
      </c>
      <c r="Z28" s="26">
        <f>(IF(AND((P28="Hg"),(J28="Child (0-7 years)")),(VLOOKUP(R28,'Hg Values'!$A$1:$M$30,3)),0))*I28</f>
        <v>0</v>
      </c>
      <c r="AA28" s="26">
        <f>(IF(AND((P28="Hg"),(J28="Child (0-7 years)")),(VLOOKUP(R28,'Hg Values'!$A$1:$M$30,13)),0))*I28</f>
        <v>0</v>
      </c>
      <c r="AB28" s="5">
        <f>(((IF(AND((P28="CA"),(J28="Adult (&gt; 15 years)")),((R28*1)/70)*(VLOOKUP(K28,CA_ingestion!A$1:J$78,4,0)),0))))/11</f>
        <v>0</v>
      </c>
      <c r="AC28" s="5">
        <f t="shared" si="7"/>
        <v>0</v>
      </c>
      <c r="AD28" s="5">
        <f>((IF(AND((P28="CA"),(J28="Adult (&gt; 15 years)")),(AC28*(VLOOKUP(K28,CA_ingestion!A$1:J$78,10,0))),0)))</f>
        <v>0</v>
      </c>
      <c r="AE28" s="5">
        <f t="shared" si="8"/>
        <v>0</v>
      </c>
      <c r="AF28" s="5">
        <f t="shared" si="9"/>
        <v>0</v>
      </c>
    </row>
    <row r="29" spans="1:32" ht="15.5">
      <c r="A29" s="29"/>
      <c r="B29" s="29">
        <v>0</v>
      </c>
      <c r="C29" s="29" t="s">
        <v>369</v>
      </c>
      <c r="D29" s="29"/>
      <c r="E29" s="29"/>
      <c r="F29" s="26" t="str">
        <f>Summary!C$23</f>
        <v>Afghanistan</v>
      </c>
      <c r="G29" s="29"/>
      <c r="H29" s="29" t="s">
        <v>369</v>
      </c>
      <c r="I29" s="33">
        <f>VLOOKUP(H29,'List Data'!$A$100:$B$104,2,0)</f>
        <v>0</v>
      </c>
      <c r="J29" s="29" t="s">
        <v>213</v>
      </c>
      <c r="K29" s="29" t="s">
        <v>213</v>
      </c>
      <c r="L29" s="29">
        <v>0</v>
      </c>
      <c r="M29" s="37">
        <f>S29*Summary!$H$27</f>
        <v>0</v>
      </c>
      <c r="N29" s="37">
        <f>T29*Summary!$H$25</f>
        <v>0</v>
      </c>
      <c r="O29" s="34">
        <f>(VLOOKUP(C29,'List Data'!A$106:B$109,2,0))*B29</f>
        <v>0</v>
      </c>
      <c r="P29" s="26">
        <f>VLOOKUP(K29,'List Data'!A$2:C$94,3,0)</f>
        <v>0</v>
      </c>
      <c r="Q29" s="26" t="str">
        <f>VLOOKUP(K29,'List Data'!A$2:B$94,2,0)</f>
        <v>--------</v>
      </c>
      <c r="R29" s="26">
        <f t="shared" si="4"/>
        <v>0</v>
      </c>
      <c r="S29" s="26">
        <f t="shared" si="5"/>
        <v>0</v>
      </c>
      <c r="T29" s="26">
        <f t="shared" si="6"/>
        <v>0</v>
      </c>
      <c r="U29" s="26">
        <f>(IF(AND((P29="OP"),(J29="Child (0-7 years)")),VLOOKUP(R29,'OP Values'!$A$1:$Q$35,7),))*I29</f>
        <v>0</v>
      </c>
      <c r="V29" s="26">
        <f>(IF(P29="OP",VLOOKUP($R29,'OP Values'!$A$1:$Q$35,17),))*I29</f>
        <v>0</v>
      </c>
      <c r="W29" s="26">
        <f>(IF(AND((P29="Pb"),(J29="Child (0-7 years)")),(VLOOKUP(R29,Pb!$C$2:$AV$103,11)),0))*I29</f>
        <v>0</v>
      </c>
      <c r="X29" s="26">
        <f>(IF(AND((P29="Pb"),(J29="Child (0-7 years)")),(VLOOKUP(R29,Pb!$C$2:$AV$103,20)),0))*I29</f>
        <v>0</v>
      </c>
      <c r="Y29" s="26">
        <f>(IF(AND((P29="Pb"),(J29="Adult (&gt; 15 years)")),(VLOOKUP(R29,Pb!$C$2:$AV$103,46)),0))*I29</f>
        <v>0</v>
      </c>
      <c r="Z29" s="26">
        <f>(IF(AND((P29="Hg"),(J29="Child (0-7 years)")),(VLOOKUP(R29,'Hg Values'!$A$1:$M$30,3)),0))*I29</f>
        <v>0</v>
      </c>
      <c r="AA29" s="26">
        <f>(IF(AND((P29="Hg"),(J29="Child (0-7 years)")),(VLOOKUP(R29,'Hg Values'!$A$1:$M$30,13)),0))*I29</f>
        <v>0</v>
      </c>
      <c r="AB29" s="5">
        <f>(((IF(AND((P29="CA"),(J29="Adult (&gt; 15 years)")),((R29*1)/70)*(VLOOKUP(K29,CA_ingestion!A$1:J$78,4,0)),0))))/11</f>
        <v>0</v>
      </c>
      <c r="AC29" s="5">
        <f t="shared" si="7"/>
        <v>0</v>
      </c>
      <c r="AD29" s="5">
        <f>((IF(AND((P29="CA"),(J29="Adult (&gt; 15 years)")),(AC29*(VLOOKUP(K29,CA_ingestion!A$1:J$78,10,0))),0)))</f>
        <v>0</v>
      </c>
      <c r="AE29" s="5">
        <f t="shared" si="8"/>
        <v>0</v>
      </c>
      <c r="AF29" s="5">
        <f t="shared" si="9"/>
        <v>0</v>
      </c>
    </row>
    <row r="30" spans="1:32" ht="15.5">
      <c r="A30" s="29"/>
      <c r="B30" s="29">
        <v>0</v>
      </c>
      <c r="C30" s="29" t="s">
        <v>369</v>
      </c>
      <c r="D30" s="29"/>
      <c r="E30" s="29"/>
      <c r="F30" s="26" t="str">
        <f>Summary!C$23</f>
        <v>Afghanistan</v>
      </c>
      <c r="G30" s="29"/>
      <c r="H30" s="29" t="s">
        <v>369</v>
      </c>
      <c r="I30" s="33">
        <f>VLOOKUP(H30,'List Data'!$A$100:$B$104,2,0)</f>
        <v>0</v>
      </c>
      <c r="J30" s="29" t="s">
        <v>213</v>
      </c>
      <c r="K30" s="29" t="s">
        <v>213</v>
      </c>
      <c r="L30" s="29">
        <v>0</v>
      </c>
      <c r="M30" s="37">
        <f>S30*Summary!$H$27</f>
        <v>0</v>
      </c>
      <c r="N30" s="37">
        <f>T30*Summary!$H$25</f>
        <v>0</v>
      </c>
      <c r="O30" s="34">
        <f>(VLOOKUP(C30,'List Data'!A$106:B$109,2,0))*B30</f>
        <v>0</v>
      </c>
      <c r="P30" s="26">
        <f>VLOOKUP(K30,'List Data'!A$2:C$94,3,0)</f>
        <v>0</v>
      </c>
      <c r="Q30" s="26" t="str">
        <f>VLOOKUP(K30,'List Data'!A$2:B$94,2,0)</f>
        <v>--------</v>
      </c>
      <c r="R30" s="26">
        <f t="shared" si="4"/>
        <v>0</v>
      </c>
      <c r="S30" s="26">
        <f t="shared" si="5"/>
        <v>0</v>
      </c>
      <c r="T30" s="26">
        <f t="shared" si="6"/>
        <v>0</v>
      </c>
      <c r="U30" s="26">
        <f>(IF(AND((P30="OP"),(J30="Child (0-7 years)")),VLOOKUP(R30,'OP Values'!$A$1:$Q$35,7),))*I30</f>
        <v>0</v>
      </c>
      <c r="V30" s="26">
        <f>(IF(P30="OP",VLOOKUP($R30,'OP Values'!$A$1:$Q$35,17),))*I30</f>
        <v>0</v>
      </c>
      <c r="W30" s="26">
        <f>(IF(AND((P30="Pb"),(J30="Child (0-7 years)")),(VLOOKUP(R30,Pb!$C$2:$AV$103,11)),0))*I30</f>
        <v>0</v>
      </c>
      <c r="X30" s="26">
        <f>(IF(AND((P30="Pb"),(J30="Child (0-7 years)")),(VLOOKUP(R30,Pb!$C$2:$AV$103,20)),0))*I30</f>
        <v>0</v>
      </c>
      <c r="Y30" s="26">
        <f>(IF(AND((P30="Pb"),(J30="Adult (&gt; 15 years)")),(VLOOKUP(R30,Pb!$C$2:$AV$103,46)),0))*I30</f>
        <v>0</v>
      </c>
      <c r="Z30" s="26">
        <f>(IF(AND((P30="Hg"),(J30="Child (0-7 years)")),(VLOOKUP(R30,'Hg Values'!$A$1:$M$30,3)),0))*I30</f>
        <v>0</v>
      </c>
      <c r="AA30" s="26">
        <f>(IF(AND((P30="Hg"),(J30="Child (0-7 years)")),(VLOOKUP(R30,'Hg Values'!$A$1:$M$30,13)),0))*I30</f>
        <v>0</v>
      </c>
      <c r="AB30" s="5">
        <f>(((IF(AND((P30="CA"),(J30="Adult (&gt; 15 years)")),((R30*1)/70)*(VLOOKUP(K30,CA_ingestion!A$1:J$78,4,0)),0))))/11</f>
        <v>0</v>
      </c>
      <c r="AC30" s="5">
        <f t="shared" si="7"/>
        <v>0</v>
      </c>
      <c r="AD30" s="5">
        <f>((IF(AND((P30="CA"),(J30="Adult (&gt; 15 years)")),(AC30*(VLOOKUP(K30,CA_ingestion!A$1:J$78,10,0))),0)))</f>
        <v>0</v>
      </c>
      <c r="AE30" s="5">
        <f t="shared" si="8"/>
        <v>0</v>
      </c>
      <c r="AF30" s="5">
        <f t="shared" si="9"/>
        <v>0</v>
      </c>
    </row>
    <row r="31" spans="1:32" ht="15.5">
      <c r="A31" s="29"/>
      <c r="B31" s="29">
        <v>0</v>
      </c>
      <c r="C31" s="29" t="s">
        <v>369</v>
      </c>
      <c r="D31" s="29"/>
      <c r="E31" s="29"/>
      <c r="F31" s="26" t="str">
        <f>Summary!C$23</f>
        <v>Afghanistan</v>
      </c>
      <c r="G31" s="29"/>
      <c r="H31" s="29" t="s">
        <v>369</v>
      </c>
      <c r="I31" s="33">
        <f>VLOOKUP(H31,'List Data'!$A$100:$B$104,2,0)</f>
        <v>0</v>
      </c>
      <c r="J31" s="29" t="s">
        <v>213</v>
      </c>
      <c r="K31" s="29" t="s">
        <v>213</v>
      </c>
      <c r="L31" s="29">
        <v>0</v>
      </c>
      <c r="M31" s="37">
        <f>S31*Summary!$H$27</f>
        <v>0</v>
      </c>
      <c r="N31" s="37">
        <f>T31*Summary!$H$25</f>
        <v>0</v>
      </c>
      <c r="O31" s="34">
        <f>(VLOOKUP(C31,'List Data'!A$106:B$109,2,0))*B31</f>
        <v>0</v>
      </c>
      <c r="P31" s="26">
        <f>VLOOKUP(K31,'List Data'!A$2:C$94,3,0)</f>
        <v>0</v>
      </c>
      <c r="Q31" s="26" t="str">
        <f>VLOOKUP(K31,'List Data'!A$2:B$94,2,0)</f>
        <v>--------</v>
      </c>
      <c r="R31" s="26">
        <f t="shared" si="4"/>
        <v>0</v>
      </c>
      <c r="S31" s="26">
        <f t="shared" si="5"/>
        <v>0</v>
      </c>
      <c r="T31" s="26">
        <f t="shared" si="6"/>
        <v>0</v>
      </c>
      <c r="U31" s="26">
        <f>(IF(AND((P31="OP"),(J31="Child (0-7 years)")),VLOOKUP(R31,'OP Values'!$A$1:$Q$35,7),))*I31</f>
        <v>0</v>
      </c>
      <c r="V31" s="26">
        <f>(IF(P31="OP",VLOOKUP($R31,'OP Values'!$A$1:$Q$35,17),))*I31</f>
        <v>0</v>
      </c>
      <c r="W31" s="26">
        <f>(IF(AND((P31="Pb"),(J31="Child (0-7 years)")),(VLOOKUP(R31,Pb!$C$2:$AV$103,11)),0))*I31</f>
        <v>0</v>
      </c>
      <c r="X31" s="26">
        <f>(IF(AND((P31="Pb"),(J31="Child (0-7 years)")),(VLOOKUP(R31,Pb!$C$2:$AV$103,20)),0))*I31</f>
        <v>0</v>
      </c>
      <c r="Y31" s="26">
        <f>(IF(AND((P31="Pb"),(J31="Adult (&gt; 15 years)")),(VLOOKUP(R31,Pb!$C$2:$AV$103,46)),0))*I31</f>
        <v>0</v>
      </c>
      <c r="Z31" s="26">
        <f>(IF(AND((P31="Hg"),(J31="Child (0-7 years)")),(VLOOKUP(R31,'Hg Values'!$A$1:$M$30,3)),0))*I31</f>
        <v>0</v>
      </c>
      <c r="AA31" s="26">
        <f>(IF(AND((P31="Hg"),(J31="Child (0-7 years)")),(VLOOKUP(R31,'Hg Values'!$A$1:$M$30,13)),0))*I31</f>
        <v>0</v>
      </c>
      <c r="AB31" s="5">
        <f>(((IF(AND((P31="CA"),(J31="Adult (&gt; 15 years)")),((R31*1)/70)*(VLOOKUP(K31,CA_ingestion!A$1:J$78,4,0)),0))))/11</f>
        <v>0</v>
      </c>
      <c r="AC31" s="5">
        <f t="shared" si="7"/>
        <v>0</v>
      </c>
      <c r="AD31" s="5">
        <f>((IF(AND((P31="CA"),(J31="Adult (&gt; 15 years)")),(AC31*(VLOOKUP(K31,CA_ingestion!A$1:J$78,10,0))),0)))</f>
        <v>0</v>
      </c>
      <c r="AE31" s="5">
        <f t="shared" si="8"/>
        <v>0</v>
      </c>
      <c r="AF31" s="5">
        <f t="shared" si="9"/>
        <v>0</v>
      </c>
    </row>
    <row r="32" spans="1:32" ht="15.5">
      <c r="A32" s="29"/>
      <c r="B32" s="29">
        <v>0</v>
      </c>
      <c r="C32" s="29" t="s">
        <v>369</v>
      </c>
      <c r="D32" s="29"/>
      <c r="E32" s="29"/>
      <c r="F32" s="26" t="str">
        <f>Summary!C$23</f>
        <v>Afghanistan</v>
      </c>
      <c r="G32" s="29"/>
      <c r="H32" s="29" t="s">
        <v>369</v>
      </c>
      <c r="I32" s="33">
        <f>VLOOKUP(H32,'List Data'!$A$100:$B$104,2,0)</f>
        <v>0</v>
      </c>
      <c r="J32" s="29" t="s">
        <v>213</v>
      </c>
      <c r="K32" s="29" t="s">
        <v>213</v>
      </c>
      <c r="L32" s="29">
        <v>0</v>
      </c>
      <c r="M32" s="37">
        <f>S32*Summary!$H$27</f>
        <v>0</v>
      </c>
      <c r="N32" s="37">
        <f>T32*Summary!$H$25</f>
        <v>0</v>
      </c>
      <c r="O32" s="34">
        <f>(VLOOKUP(C32,'List Data'!A$106:B$109,2,0))*B32</f>
        <v>0</v>
      </c>
      <c r="P32" s="26">
        <f>VLOOKUP(K32,'List Data'!A$2:C$94,3,0)</f>
        <v>0</v>
      </c>
      <c r="Q32" s="26" t="str">
        <f>VLOOKUP(K32,'List Data'!A$2:B$94,2,0)</f>
        <v>--------</v>
      </c>
      <c r="R32" s="26">
        <f t="shared" si="4"/>
        <v>0</v>
      </c>
      <c r="S32" s="26">
        <f t="shared" si="5"/>
        <v>0</v>
      </c>
      <c r="T32" s="26">
        <f t="shared" si="6"/>
        <v>0</v>
      </c>
      <c r="U32" s="26">
        <f>(IF(AND((P32="OP"),(J32="Child (0-7 years)")),VLOOKUP(R32,'OP Values'!$A$1:$Q$35,7),))*I32</f>
        <v>0</v>
      </c>
      <c r="V32" s="26">
        <f>(IF(P32="OP",VLOOKUP($R32,'OP Values'!$A$1:$Q$35,17),))*I32</f>
        <v>0</v>
      </c>
      <c r="W32" s="26">
        <f>(IF(AND((P32="Pb"),(J32="Child (0-7 years)")),(VLOOKUP(R32,Pb!$C$2:$AV$103,11)),0))*I32</f>
        <v>0</v>
      </c>
      <c r="X32" s="26">
        <f>(IF(AND((P32="Pb"),(J32="Child (0-7 years)")),(VLOOKUP(R32,Pb!$C$2:$AV$103,20)),0))*I32</f>
        <v>0</v>
      </c>
      <c r="Y32" s="26">
        <f>(IF(AND((P32="Pb"),(J32="Adult (&gt; 15 years)")),(VLOOKUP(R32,Pb!$C$2:$AV$103,46)),0))*I32</f>
        <v>0</v>
      </c>
      <c r="Z32" s="26">
        <f>(IF(AND((P32="Hg"),(J32="Child (0-7 years)")),(VLOOKUP(R32,'Hg Values'!$A$1:$M$30,3)),0))*I32</f>
        <v>0</v>
      </c>
      <c r="AA32" s="26">
        <f>(IF(AND((P32="Hg"),(J32="Child (0-7 years)")),(VLOOKUP(R32,'Hg Values'!$A$1:$M$30,13)),0))*I32</f>
        <v>0</v>
      </c>
      <c r="AB32" s="5">
        <f>(((IF(AND((P32="CA"),(J32="Adult (&gt; 15 years)")),((R32*1)/70)*(VLOOKUP(K32,CA_ingestion!A$1:J$78,4,0)),0))))/11</f>
        <v>0</v>
      </c>
      <c r="AC32" s="5">
        <f t="shared" si="7"/>
        <v>0</v>
      </c>
      <c r="AD32" s="5">
        <f>((IF(AND((P32="CA"),(J32="Adult (&gt; 15 years)")),(AC32*(VLOOKUP(K32,CA_ingestion!A$1:J$78,10,0))),0)))</f>
        <v>0</v>
      </c>
      <c r="AE32" s="5">
        <f t="shared" si="8"/>
        <v>0</v>
      </c>
      <c r="AF32" s="5">
        <f t="shared" si="9"/>
        <v>0</v>
      </c>
    </row>
    <row r="33" spans="1:32" ht="15.5">
      <c r="A33" s="29"/>
      <c r="B33" s="29">
        <v>0</v>
      </c>
      <c r="C33" s="29" t="s">
        <v>369</v>
      </c>
      <c r="D33" s="29"/>
      <c r="E33" s="29"/>
      <c r="F33" s="26" t="str">
        <f>Summary!C$23</f>
        <v>Afghanistan</v>
      </c>
      <c r="G33" s="29"/>
      <c r="H33" s="29" t="s">
        <v>369</v>
      </c>
      <c r="I33" s="33">
        <f>VLOOKUP(H33,'List Data'!$A$100:$B$104,2,0)</f>
        <v>0</v>
      </c>
      <c r="J33" s="29" t="s">
        <v>213</v>
      </c>
      <c r="K33" s="29" t="s">
        <v>213</v>
      </c>
      <c r="L33" s="29">
        <v>0</v>
      </c>
      <c r="M33" s="37">
        <f>S33*Summary!$H$27</f>
        <v>0</v>
      </c>
      <c r="N33" s="37">
        <f>T33*Summary!$H$25</f>
        <v>0</v>
      </c>
      <c r="O33" s="34">
        <f>(VLOOKUP(C33,'List Data'!A$106:B$109,2,0))*B33</f>
        <v>0</v>
      </c>
      <c r="P33" s="26">
        <f>VLOOKUP(K33,'List Data'!A$2:C$94,3,0)</f>
        <v>0</v>
      </c>
      <c r="Q33" s="26" t="str">
        <f>VLOOKUP(K33,'List Data'!A$2:B$94,2,0)</f>
        <v>--------</v>
      </c>
      <c r="R33" s="26">
        <f t="shared" si="4"/>
        <v>0</v>
      </c>
      <c r="S33" s="26">
        <f t="shared" si="5"/>
        <v>0</v>
      </c>
      <c r="T33" s="26">
        <f t="shared" si="6"/>
        <v>0</v>
      </c>
      <c r="U33" s="26">
        <f>(IF(AND((P33="OP"),(J33="Child (0-7 years)")),VLOOKUP(R33,'OP Values'!$A$1:$Q$35,7),))*I33</f>
        <v>0</v>
      </c>
      <c r="V33" s="26">
        <f>(IF(P33="OP",VLOOKUP($R33,'OP Values'!$A$1:$Q$35,17),))*I33</f>
        <v>0</v>
      </c>
      <c r="W33" s="26">
        <f>(IF(AND((P33="Pb"),(J33="Child (0-7 years)")),(VLOOKUP(R33,Pb!$C$2:$AV$103,11)),0))*I33</f>
        <v>0</v>
      </c>
      <c r="X33" s="26">
        <f>(IF(AND((P33="Pb"),(J33="Child (0-7 years)")),(VLOOKUP(R33,Pb!$C$2:$AV$103,20)),0))*I33</f>
        <v>0</v>
      </c>
      <c r="Y33" s="26">
        <f>(IF(AND((P33="Pb"),(J33="Adult (&gt; 15 years)")),(VLOOKUP(R33,Pb!$C$2:$AV$103,46)),0))*I33</f>
        <v>0</v>
      </c>
      <c r="Z33" s="26">
        <f>(IF(AND((P33="Hg"),(J33="Child (0-7 years)")),(VLOOKUP(R33,'Hg Values'!$A$1:$M$30,3)),0))*I33</f>
        <v>0</v>
      </c>
      <c r="AA33" s="26">
        <f>(IF(AND((P33="Hg"),(J33="Child (0-7 years)")),(VLOOKUP(R33,'Hg Values'!$A$1:$M$30,13)),0))*I33</f>
        <v>0</v>
      </c>
      <c r="AB33" s="5">
        <f>(((IF(AND((P33="CA"),(J33="Adult (&gt; 15 years)")),((R33*1)/70)*(VLOOKUP(K33,CA_ingestion!A$1:J$78,4,0)),0))))/11</f>
        <v>0</v>
      </c>
      <c r="AC33" s="5">
        <f t="shared" si="7"/>
        <v>0</v>
      </c>
      <c r="AD33" s="5">
        <f>((IF(AND((P33="CA"),(J33="Adult (&gt; 15 years)")),(AC33*(VLOOKUP(K33,CA_ingestion!A$1:J$78,10,0))),0)))</f>
        <v>0</v>
      </c>
      <c r="AE33" s="5">
        <f t="shared" si="8"/>
        <v>0</v>
      </c>
      <c r="AF33" s="5">
        <f t="shared" si="9"/>
        <v>0</v>
      </c>
    </row>
    <row r="34" spans="1:32" ht="15.5">
      <c r="A34" s="29"/>
      <c r="B34" s="29">
        <v>0</v>
      </c>
      <c r="C34" s="29" t="s">
        <v>369</v>
      </c>
      <c r="D34" s="29"/>
      <c r="E34" s="29"/>
      <c r="F34" s="26" t="str">
        <f>Summary!C$23</f>
        <v>Afghanistan</v>
      </c>
      <c r="G34" s="29"/>
      <c r="H34" s="29" t="s">
        <v>369</v>
      </c>
      <c r="I34" s="33">
        <f>VLOOKUP(H34,'List Data'!$A$100:$B$104,2,0)</f>
        <v>0</v>
      </c>
      <c r="J34" s="29" t="s">
        <v>213</v>
      </c>
      <c r="K34" s="29" t="s">
        <v>213</v>
      </c>
      <c r="L34" s="29">
        <v>0</v>
      </c>
      <c r="M34" s="37">
        <f>S34*Summary!$H$27</f>
        <v>0</v>
      </c>
      <c r="N34" s="37">
        <f>T34*Summary!$H$25</f>
        <v>0</v>
      </c>
      <c r="O34" s="34">
        <f>(VLOOKUP(C34,'List Data'!A$106:B$109,2,0))*B34</f>
        <v>0</v>
      </c>
      <c r="P34" s="26">
        <f>VLOOKUP(K34,'List Data'!A$2:C$94,3,0)</f>
        <v>0</v>
      </c>
      <c r="Q34" s="26" t="str">
        <f>VLOOKUP(K34,'List Data'!A$2:B$94,2,0)</f>
        <v>--------</v>
      </c>
      <c r="R34" s="26">
        <f t="shared" si="4"/>
        <v>0</v>
      </c>
      <c r="S34" s="26">
        <f t="shared" si="5"/>
        <v>0</v>
      </c>
      <c r="T34" s="26">
        <f t="shared" si="6"/>
        <v>0</v>
      </c>
      <c r="U34" s="26">
        <f>(IF(AND((P34="OP"),(J34="Child (0-7 years)")),VLOOKUP(R34,'OP Values'!$A$1:$Q$35,7),))*I34</f>
        <v>0</v>
      </c>
      <c r="V34" s="26">
        <f>(IF(P34="OP",VLOOKUP($R34,'OP Values'!$A$1:$Q$35,17),))*I34</f>
        <v>0</v>
      </c>
      <c r="W34" s="26">
        <f>(IF(AND((P34="Pb"),(J34="Child (0-7 years)")),(VLOOKUP(R34,Pb!$C$2:$AV$103,11)),0))*I34</f>
        <v>0</v>
      </c>
      <c r="X34" s="26">
        <f>(IF(AND((P34="Pb"),(J34="Child (0-7 years)")),(VLOOKUP(R34,Pb!$C$2:$AV$103,20)),0))*I34</f>
        <v>0</v>
      </c>
      <c r="Y34" s="26">
        <f>(IF(AND((P34="Pb"),(J34="Adult (&gt; 15 years)")),(VLOOKUP(R34,Pb!$C$2:$AV$103,46)),0))*I34</f>
        <v>0</v>
      </c>
      <c r="Z34" s="26">
        <f>(IF(AND((P34="Hg"),(J34="Child (0-7 years)")),(VLOOKUP(R34,'Hg Values'!$A$1:$M$30,3)),0))*I34</f>
        <v>0</v>
      </c>
      <c r="AA34" s="26">
        <f>(IF(AND((P34="Hg"),(J34="Child (0-7 years)")),(VLOOKUP(R34,'Hg Values'!$A$1:$M$30,13)),0))*I34</f>
        <v>0</v>
      </c>
      <c r="AB34" s="5">
        <f>(((IF(AND((P34="CA"),(J34="Adult (&gt; 15 years)")),((R34*1)/70)*(VLOOKUP(K34,CA_ingestion!A$1:J$78,4,0)),0))))/11</f>
        <v>0</v>
      </c>
      <c r="AC34" s="5">
        <f t="shared" si="7"/>
        <v>0</v>
      </c>
      <c r="AD34" s="5">
        <f>((IF(AND((P34="CA"),(J34="Adult (&gt; 15 years)")),(AC34*(VLOOKUP(K34,CA_ingestion!A$1:J$78,10,0))),0)))</f>
        <v>0</v>
      </c>
      <c r="AE34" s="5">
        <f t="shared" si="8"/>
        <v>0</v>
      </c>
      <c r="AF34" s="5">
        <f t="shared" si="9"/>
        <v>0</v>
      </c>
    </row>
    <row r="35" spans="1:32" ht="15.5">
      <c r="A35" s="29"/>
      <c r="B35" s="29">
        <v>0</v>
      </c>
      <c r="C35" s="29" t="s">
        <v>369</v>
      </c>
      <c r="D35" s="29"/>
      <c r="E35" s="29"/>
      <c r="F35" s="26" t="str">
        <f>Summary!C$23</f>
        <v>Afghanistan</v>
      </c>
      <c r="G35" s="29"/>
      <c r="H35" s="29" t="s">
        <v>369</v>
      </c>
      <c r="I35" s="33">
        <f>VLOOKUP(H35,'List Data'!$A$100:$B$104,2,0)</f>
        <v>0</v>
      </c>
      <c r="J35" s="29" t="s">
        <v>213</v>
      </c>
      <c r="K35" s="29" t="s">
        <v>213</v>
      </c>
      <c r="L35" s="29">
        <v>0</v>
      </c>
      <c r="M35" s="37">
        <f>S35*Summary!$H$27</f>
        <v>0</v>
      </c>
      <c r="N35" s="37">
        <f>T35*Summary!$H$25</f>
        <v>0</v>
      </c>
      <c r="O35" s="34">
        <f>(VLOOKUP(C35,'List Data'!A$106:B$109,2,0))*B35</f>
        <v>0</v>
      </c>
      <c r="P35" s="26">
        <f>VLOOKUP(K35,'List Data'!A$2:C$94,3,0)</f>
        <v>0</v>
      </c>
      <c r="Q35" s="26" t="str">
        <f>VLOOKUP(K35,'List Data'!A$2:B$94,2,0)</f>
        <v>--------</v>
      </c>
      <c r="R35" s="26">
        <f t="shared" si="4"/>
        <v>0</v>
      </c>
      <c r="S35" s="26">
        <f t="shared" si="5"/>
        <v>0</v>
      </c>
      <c r="T35" s="26">
        <f t="shared" si="6"/>
        <v>0</v>
      </c>
      <c r="U35" s="26">
        <f>(IF(AND((P35="OP"),(J35="Child (0-7 years)")),VLOOKUP(R35,'OP Values'!$A$1:$Q$35,7),))*I35</f>
        <v>0</v>
      </c>
      <c r="V35" s="26">
        <f>(IF(P35="OP",VLOOKUP($R35,'OP Values'!$A$1:$Q$35,17),))*I35</f>
        <v>0</v>
      </c>
      <c r="W35" s="26">
        <f>(IF(AND((P35="Pb"),(J35="Child (0-7 years)")),(VLOOKUP(R35,Pb!$C$2:$AV$103,11)),0))*I35</f>
        <v>0</v>
      </c>
      <c r="X35" s="26">
        <f>(IF(AND((P35="Pb"),(J35="Child (0-7 years)")),(VLOOKUP(R35,Pb!$C$2:$AV$103,20)),0))*I35</f>
        <v>0</v>
      </c>
      <c r="Y35" s="26">
        <f>(IF(AND((P35="Pb"),(J35="Adult (&gt; 15 years)")),(VLOOKUP(R35,Pb!$C$2:$AV$103,46)),0))*I35</f>
        <v>0</v>
      </c>
      <c r="Z35" s="26">
        <f>(IF(AND((P35="Hg"),(J35="Child (0-7 years)")),(VLOOKUP(R35,'Hg Values'!$A$1:$M$30,3)),0))*I35</f>
        <v>0</v>
      </c>
      <c r="AA35" s="26">
        <f>(IF(AND((P35="Hg"),(J35="Child (0-7 years)")),(VLOOKUP(R35,'Hg Values'!$A$1:$M$30,13)),0))*I35</f>
        <v>0</v>
      </c>
      <c r="AB35" s="5">
        <f>(((IF(AND((P35="CA"),(J35="Adult (&gt; 15 years)")),((R35*1)/70)*(VLOOKUP(K35,CA_ingestion!A$1:J$78,4,0)),0))))/11</f>
        <v>0</v>
      </c>
      <c r="AC35" s="5">
        <f t="shared" si="7"/>
        <v>0</v>
      </c>
      <c r="AD35" s="5">
        <f>((IF(AND((P35="CA"),(J35="Adult (&gt; 15 years)")),(AC35*(VLOOKUP(K35,CA_ingestion!A$1:J$78,10,0))),0)))</f>
        <v>0</v>
      </c>
      <c r="AE35" s="5">
        <f t="shared" si="8"/>
        <v>0</v>
      </c>
      <c r="AF35" s="5">
        <f t="shared" si="9"/>
        <v>0</v>
      </c>
    </row>
    <row r="36" spans="1:32" ht="15.5">
      <c r="A36" s="29"/>
      <c r="B36" s="29">
        <v>0</v>
      </c>
      <c r="C36" s="29" t="s">
        <v>369</v>
      </c>
      <c r="D36" s="29"/>
      <c r="E36" s="29"/>
      <c r="F36" s="26" t="str">
        <f>Summary!C$23</f>
        <v>Afghanistan</v>
      </c>
      <c r="G36" s="29"/>
      <c r="H36" s="29" t="s">
        <v>369</v>
      </c>
      <c r="I36" s="33">
        <f>VLOOKUP(H36,'List Data'!$A$100:$B$104,2,0)</f>
        <v>0</v>
      </c>
      <c r="J36" s="29" t="s">
        <v>213</v>
      </c>
      <c r="K36" s="29" t="s">
        <v>213</v>
      </c>
      <c r="L36" s="29">
        <v>0</v>
      </c>
      <c r="M36" s="37">
        <f>S36*Summary!$H$27</f>
        <v>0</v>
      </c>
      <c r="N36" s="37">
        <f>T36*Summary!$H$25</f>
        <v>0</v>
      </c>
      <c r="O36" s="34">
        <f>(VLOOKUP(C36,'List Data'!A$106:B$109,2,0))*B36</f>
        <v>0</v>
      </c>
      <c r="P36" s="26">
        <f>VLOOKUP(K36,'List Data'!A$2:C$94,3,0)</f>
        <v>0</v>
      </c>
      <c r="Q36" s="26" t="str">
        <f>VLOOKUP(K36,'List Data'!A$2:B$94,2,0)</f>
        <v>--------</v>
      </c>
      <c r="R36" s="26">
        <f t="shared" si="4"/>
        <v>0</v>
      </c>
      <c r="S36" s="26">
        <f t="shared" si="5"/>
        <v>0</v>
      </c>
      <c r="T36" s="26">
        <f t="shared" si="6"/>
        <v>0</v>
      </c>
      <c r="U36" s="26">
        <f>(IF(AND((P36="OP"),(J36="Child (0-7 years)")),VLOOKUP(R36,'OP Values'!$A$1:$Q$35,7),))*I36</f>
        <v>0</v>
      </c>
      <c r="V36" s="26">
        <f>(IF(P36="OP",VLOOKUP($R36,'OP Values'!$A$1:$Q$35,17),))*I36</f>
        <v>0</v>
      </c>
      <c r="W36" s="26">
        <f>(IF(AND((P36="Pb"),(J36="Child (0-7 years)")),(VLOOKUP(R36,Pb!$C$2:$AV$103,11)),0))*I36</f>
        <v>0</v>
      </c>
      <c r="X36" s="26">
        <f>(IF(AND((P36="Pb"),(J36="Child (0-7 years)")),(VLOOKUP(R36,Pb!$C$2:$AV$103,20)),0))*I36</f>
        <v>0</v>
      </c>
      <c r="Y36" s="26">
        <f>(IF(AND((P36="Pb"),(J36="Adult (&gt; 15 years)")),(VLOOKUP(R36,Pb!$C$2:$AV$103,46)),0))*I36</f>
        <v>0</v>
      </c>
      <c r="Z36" s="26">
        <f>(IF(AND((P36="Hg"),(J36="Child (0-7 years)")),(VLOOKUP(R36,'Hg Values'!$A$1:$M$30,3)),0))*I36</f>
        <v>0</v>
      </c>
      <c r="AA36" s="26">
        <f>(IF(AND((P36="Hg"),(J36="Child (0-7 years)")),(VLOOKUP(R36,'Hg Values'!$A$1:$M$30,13)),0))*I36</f>
        <v>0</v>
      </c>
      <c r="AB36" s="5">
        <f>(((IF(AND((P36="CA"),(J36="Adult (&gt; 15 years)")),((R36*1)/70)*(VLOOKUP(K36,CA_ingestion!A$1:J$78,4,0)),0))))/11</f>
        <v>0</v>
      </c>
      <c r="AC36" s="5">
        <f t="shared" si="7"/>
        <v>0</v>
      </c>
      <c r="AD36" s="5">
        <f>((IF(AND((P36="CA"),(J36="Adult (&gt; 15 years)")),(AC36*(VLOOKUP(K36,CA_ingestion!A$1:J$78,10,0))),0)))</f>
        <v>0</v>
      </c>
      <c r="AE36" s="5">
        <f t="shared" si="8"/>
        <v>0</v>
      </c>
      <c r="AF36" s="5">
        <f t="shared" si="9"/>
        <v>0</v>
      </c>
    </row>
    <row r="37" spans="1:32" ht="15.5">
      <c r="A37" s="29"/>
      <c r="B37" s="29">
        <v>0</v>
      </c>
      <c r="C37" s="29" t="s">
        <v>369</v>
      </c>
      <c r="D37" s="29"/>
      <c r="E37" s="29"/>
      <c r="F37" s="26" t="str">
        <f>Summary!C$23</f>
        <v>Afghanistan</v>
      </c>
      <c r="G37" s="29"/>
      <c r="H37" s="29" t="s">
        <v>369</v>
      </c>
      <c r="I37" s="33">
        <f>VLOOKUP(H37,'List Data'!$A$100:$B$104,2,0)</f>
        <v>0</v>
      </c>
      <c r="J37" s="29" t="s">
        <v>213</v>
      </c>
      <c r="K37" s="29" t="s">
        <v>213</v>
      </c>
      <c r="L37" s="29">
        <v>0</v>
      </c>
      <c r="M37" s="37">
        <f>S37*Summary!$H$27</f>
        <v>0</v>
      </c>
      <c r="N37" s="37">
        <f>T37*Summary!$H$25</f>
        <v>0</v>
      </c>
      <c r="O37" s="34">
        <f>(VLOOKUP(C37,'List Data'!A$106:B$109,2,0))*B37</f>
        <v>0</v>
      </c>
      <c r="P37" s="26">
        <f>VLOOKUP(K37,'List Data'!A$2:C$94,3,0)</f>
        <v>0</v>
      </c>
      <c r="Q37" s="26" t="str">
        <f>VLOOKUP(K37,'List Data'!A$2:B$94,2,0)</f>
        <v>--------</v>
      </c>
      <c r="R37" s="26">
        <f t="shared" si="4"/>
        <v>0</v>
      </c>
      <c r="S37" s="26">
        <f t="shared" si="5"/>
        <v>0</v>
      </c>
      <c r="T37" s="26">
        <f t="shared" si="6"/>
        <v>0</v>
      </c>
      <c r="U37" s="26">
        <f>(IF(AND((P37="OP"),(J37="Child (0-7 years)")),VLOOKUP(R37,'OP Values'!$A$1:$Q$35,7),))*I37</f>
        <v>0</v>
      </c>
      <c r="V37" s="26">
        <f>(IF(P37="OP",VLOOKUP($R37,'OP Values'!$A$1:$Q$35,17),))*I37</f>
        <v>0</v>
      </c>
      <c r="W37" s="26">
        <f>(IF(AND((P37="Pb"),(J37="Child (0-7 years)")),(VLOOKUP(R37,Pb!$C$2:$AV$103,11)),0))*I37</f>
        <v>0</v>
      </c>
      <c r="X37" s="26">
        <f>(IF(AND((P37="Pb"),(J37="Child (0-7 years)")),(VLOOKUP(R37,Pb!$C$2:$AV$103,20)),0))*I37</f>
        <v>0</v>
      </c>
      <c r="Y37" s="26">
        <f>(IF(AND((P37="Pb"),(J37="Adult (&gt; 15 years)")),(VLOOKUP(R37,Pb!$C$2:$AV$103,46)),0))*I37</f>
        <v>0</v>
      </c>
      <c r="Z37" s="26">
        <f>(IF(AND((P37="Hg"),(J37="Child (0-7 years)")),(VLOOKUP(R37,'Hg Values'!$A$1:$M$30,3)),0))*I37</f>
        <v>0</v>
      </c>
      <c r="AA37" s="26">
        <f>(IF(AND((P37="Hg"),(J37="Child (0-7 years)")),(VLOOKUP(R37,'Hg Values'!$A$1:$M$30,13)),0))*I37</f>
        <v>0</v>
      </c>
      <c r="AB37" s="5">
        <f>(((IF(AND((P37="CA"),(J37="Adult (&gt; 15 years)")),((R37*1)/70)*(VLOOKUP(K37,CA_ingestion!A$1:J$78,4,0)),0))))/11</f>
        <v>0</v>
      </c>
      <c r="AC37" s="5">
        <f t="shared" si="7"/>
        <v>0</v>
      </c>
      <c r="AD37" s="5">
        <f>((IF(AND((P37="CA"),(J37="Adult (&gt; 15 years)")),(AC37*(VLOOKUP(K37,CA_ingestion!A$1:J$78,10,0))),0)))</f>
        <v>0</v>
      </c>
      <c r="AE37" s="5">
        <f t="shared" si="8"/>
        <v>0</v>
      </c>
      <c r="AF37" s="5">
        <f t="shared" si="9"/>
        <v>0</v>
      </c>
    </row>
    <row r="38" spans="1:32" ht="15.5">
      <c r="A38" s="29"/>
      <c r="B38" s="29">
        <v>0</v>
      </c>
      <c r="C38" s="29" t="s">
        <v>369</v>
      </c>
      <c r="D38" s="29"/>
      <c r="E38" s="29"/>
      <c r="F38" s="26" t="str">
        <f>Summary!C$23</f>
        <v>Afghanistan</v>
      </c>
      <c r="G38" s="29"/>
      <c r="H38" s="29" t="s">
        <v>369</v>
      </c>
      <c r="I38" s="33">
        <f>VLOOKUP(H38,'List Data'!$A$100:$B$104,2,0)</f>
        <v>0</v>
      </c>
      <c r="J38" s="29" t="s">
        <v>213</v>
      </c>
      <c r="K38" s="29" t="s">
        <v>213</v>
      </c>
      <c r="L38" s="29">
        <v>0</v>
      </c>
      <c r="M38" s="37">
        <f>S38*Summary!$H$27</f>
        <v>0</v>
      </c>
      <c r="N38" s="37">
        <f>T38*Summary!$H$25</f>
        <v>0</v>
      </c>
      <c r="O38" s="34">
        <f>(VLOOKUP(C38,'List Data'!A$106:B$109,2,0))*B38</f>
        <v>0</v>
      </c>
      <c r="P38" s="26">
        <f>VLOOKUP(K38,'List Data'!A$2:C$94,3,0)</f>
        <v>0</v>
      </c>
      <c r="Q38" s="26" t="str">
        <f>VLOOKUP(K38,'List Data'!A$2:B$94,2,0)</f>
        <v>--------</v>
      </c>
      <c r="R38" s="26">
        <f t="shared" si="4"/>
        <v>0</v>
      </c>
      <c r="S38" s="26">
        <f t="shared" si="5"/>
        <v>0</v>
      </c>
      <c r="T38" s="26">
        <f t="shared" si="6"/>
        <v>0</v>
      </c>
      <c r="U38" s="26">
        <f>(IF(AND((P38="OP"),(J38="Child (0-7 years)")),VLOOKUP(R38,'OP Values'!$A$1:$Q$35,7),))*I38</f>
        <v>0</v>
      </c>
      <c r="V38" s="26">
        <f>(IF(P38="OP",VLOOKUP($R38,'OP Values'!$A$1:$Q$35,17),))*I38</f>
        <v>0</v>
      </c>
      <c r="W38" s="26">
        <f>(IF(AND((P38="Pb"),(J38="Child (0-7 years)")),(VLOOKUP(R38,Pb!$C$2:$AV$103,11)),0))*I38</f>
        <v>0</v>
      </c>
      <c r="X38" s="26">
        <f>(IF(AND((P38="Pb"),(J38="Child (0-7 years)")),(VLOOKUP(R38,Pb!$C$2:$AV$103,20)),0))*I38</f>
        <v>0</v>
      </c>
      <c r="Y38" s="26">
        <f>(IF(AND((P38="Pb"),(J38="Adult (&gt; 15 years)")),(VLOOKUP(R38,Pb!$C$2:$AV$103,46)),0))*I38</f>
        <v>0</v>
      </c>
      <c r="Z38" s="26">
        <f>(IF(AND((P38="Hg"),(J38="Child (0-7 years)")),(VLOOKUP(R38,'Hg Values'!$A$1:$M$30,3)),0))*I38</f>
        <v>0</v>
      </c>
      <c r="AA38" s="26">
        <f>(IF(AND((P38="Hg"),(J38="Child (0-7 years)")),(VLOOKUP(R38,'Hg Values'!$A$1:$M$30,13)),0))*I38</f>
        <v>0</v>
      </c>
      <c r="AB38" s="5">
        <f>(((IF(AND((P38="CA"),(J38="Adult (&gt; 15 years)")),((R38*1)/70)*(VLOOKUP(K38,CA_ingestion!A$1:J$78,4,0)),0))))/11</f>
        <v>0</v>
      </c>
      <c r="AC38" s="5">
        <f t="shared" si="7"/>
        <v>0</v>
      </c>
      <c r="AD38" s="5">
        <f>((IF(AND((P38="CA"),(J38="Adult (&gt; 15 years)")),(AC38*(VLOOKUP(K38,CA_ingestion!A$1:J$78,10,0))),0)))</f>
        <v>0</v>
      </c>
      <c r="AE38" s="5">
        <f t="shared" si="8"/>
        <v>0</v>
      </c>
      <c r="AF38" s="5">
        <f t="shared" si="9"/>
        <v>0</v>
      </c>
    </row>
    <row r="39" spans="1:32" ht="15.5">
      <c r="A39" s="29"/>
      <c r="B39" s="29">
        <v>0</v>
      </c>
      <c r="C39" s="29" t="s">
        <v>369</v>
      </c>
      <c r="D39" s="29"/>
      <c r="E39" s="29"/>
      <c r="F39" s="26" t="str">
        <f>Summary!C$23</f>
        <v>Afghanistan</v>
      </c>
      <c r="G39" s="29"/>
      <c r="H39" s="29" t="s">
        <v>369</v>
      </c>
      <c r="I39" s="33">
        <f>VLOOKUP(H39,'List Data'!$A$100:$B$104,2,0)</f>
        <v>0</v>
      </c>
      <c r="J39" s="29" t="s">
        <v>213</v>
      </c>
      <c r="K39" s="29" t="s">
        <v>213</v>
      </c>
      <c r="L39" s="29">
        <v>0</v>
      </c>
      <c r="M39" s="37">
        <f>S39*Summary!$H$27</f>
        <v>0</v>
      </c>
      <c r="N39" s="37">
        <f>T39*Summary!$H$25</f>
        <v>0</v>
      </c>
      <c r="O39" s="34">
        <f>(VLOOKUP(C39,'List Data'!A$106:B$109,2,0))*B39</f>
        <v>0</v>
      </c>
      <c r="P39" s="26">
        <f>VLOOKUP(K39,'List Data'!A$2:C$94,3,0)</f>
        <v>0</v>
      </c>
      <c r="Q39" s="26" t="str">
        <f>VLOOKUP(K39,'List Data'!A$2:B$94,2,0)</f>
        <v>--------</v>
      </c>
      <c r="R39" s="26">
        <f t="shared" si="4"/>
        <v>0</v>
      </c>
      <c r="S39" s="26">
        <f t="shared" si="5"/>
        <v>0</v>
      </c>
      <c r="T39" s="26">
        <f t="shared" si="6"/>
        <v>0</v>
      </c>
      <c r="U39" s="26">
        <f>(IF(AND((P39="OP"),(J39="Child (0-7 years)")),VLOOKUP(R39,'OP Values'!$A$1:$Q$35,7),))*I39</f>
        <v>0</v>
      </c>
      <c r="V39" s="26">
        <f>(IF(P39="OP",VLOOKUP($R39,'OP Values'!$A$1:$Q$35,17),))*I39</f>
        <v>0</v>
      </c>
      <c r="W39" s="26">
        <f>(IF(AND((P39="Pb"),(J39="Child (0-7 years)")),(VLOOKUP(R39,Pb!$C$2:$AV$103,11)),0))*I39</f>
        <v>0</v>
      </c>
      <c r="X39" s="26">
        <f>(IF(AND((P39="Pb"),(J39="Child (0-7 years)")),(VLOOKUP(R39,Pb!$C$2:$AV$103,20)),0))*I39</f>
        <v>0</v>
      </c>
      <c r="Y39" s="26">
        <f>(IF(AND((P39="Pb"),(J39="Adult (&gt; 15 years)")),(VLOOKUP(R39,Pb!$C$2:$AV$103,46)),0))*I39</f>
        <v>0</v>
      </c>
      <c r="Z39" s="26">
        <f>(IF(AND((P39="Hg"),(J39="Child (0-7 years)")),(VLOOKUP(R39,'Hg Values'!$A$1:$M$30,3)),0))*I39</f>
        <v>0</v>
      </c>
      <c r="AA39" s="26">
        <f>(IF(AND((P39="Hg"),(J39="Child (0-7 years)")),(VLOOKUP(R39,'Hg Values'!$A$1:$M$30,13)),0))*I39</f>
        <v>0</v>
      </c>
      <c r="AB39" s="5">
        <f>(((IF(AND((P39="CA"),(J39="Adult (&gt; 15 years)")),((R39*1)/70)*(VLOOKUP(K39,CA_ingestion!A$1:J$78,4,0)),0))))/11</f>
        <v>0</v>
      </c>
      <c r="AC39" s="5">
        <f t="shared" si="7"/>
        <v>0</v>
      </c>
      <c r="AD39" s="5">
        <f>((IF(AND((P39="CA"),(J39="Adult (&gt; 15 years)")),(AC39*(VLOOKUP(K39,CA_ingestion!A$1:J$78,10,0))),0)))</f>
        <v>0</v>
      </c>
      <c r="AE39" s="5">
        <f t="shared" si="8"/>
        <v>0</v>
      </c>
      <c r="AF39" s="5">
        <f t="shared" si="9"/>
        <v>0</v>
      </c>
    </row>
    <row r="40" spans="1:32" ht="15.5">
      <c r="A40" s="29"/>
      <c r="B40" s="29">
        <v>0</v>
      </c>
      <c r="C40" s="29" t="s">
        <v>369</v>
      </c>
      <c r="D40" s="29"/>
      <c r="E40" s="29"/>
      <c r="F40" s="26" t="str">
        <f>Summary!C$23</f>
        <v>Afghanistan</v>
      </c>
      <c r="G40" s="29"/>
      <c r="H40" s="29" t="s">
        <v>369</v>
      </c>
      <c r="I40" s="33">
        <f>VLOOKUP(H40,'List Data'!$A$100:$B$104,2,0)</f>
        <v>0</v>
      </c>
      <c r="J40" s="29" t="s">
        <v>213</v>
      </c>
      <c r="K40" s="29" t="s">
        <v>213</v>
      </c>
      <c r="L40" s="29">
        <v>0</v>
      </c>
      <c r="M40" s="37">
        <f>S40*Summary!$H$27</f>
        <v>0</v>
      </c>
      <c r="N40" s="37">
        <f>T40*Summary!$H$25</f>
        <v>0</v>
      </c>
      <c r="O40" s="34">
        <f>(VLOOKUP(C40,'List Data'!A$106:B$109,2,0))*B40</f>
        <v>0</v>
      </c>
      <c r="P40" s="26">
        <f>VLOOKUP(K40,'List Data'!A$2:C$94,3,0)</f>
        <v>0</v>
      </c>
      <c r="Q40" s="26" t="str">
        <f>VLOOKUP(K40,'List Data'!A$2:B$94,2,0)</f>
        <v>--------</v>
      </c>
      <c r="R40" s="26">
        <f t="shared" si="4"/>
        <v>0</v>
      </c>
      <c r="S40" s="26">
        <f t="shared" si="5"/>
        <v>0</v>
      </c>
      <c r="T40" s="26">
        <f t="shared" si="6"/>
        <v>0</v>
      </c>
      <c r="U40" s="26">
        <f>(IF(AND((P40="OP"),(J40="Child (0-7 years)")),VLOOKUP(R40,'OP Values'!$A$1:$Q$35,7),))*I40</f>
        <v>0</v>
      </c>
      <c r="V40" s="26">
        <f>(IF(P40="OP",VLOOKUP($R40,'OP Values'!$A$1:$Q$35,17),))*I40</f>
        <v>0</v>
      </c>
      <c r="W40" s="26">
        <f>(IF(AND((P40="Pb"),(J40="Child (0-7 years)")),(VLOOKUP(R40,Pb!$C$2:$AV$103,11)),0))*I40</f>
        <v>0</v>
      </c>
      <c r="X40" s="26">
        <f>(IF(AND((P40="Pb"),(J40="Child (0-7 years)")),(VLOOKUP(R40,Pb!$C$2:$AV$103,20)),0))*I40</f>
        <v>0</v>
      </c>
      <c r="Y40" s="26">
        <f>(IF(AND((P40="Pb"),(J40="Adult (&gt; 15 years)")),(VLOOKUP(R40,Pb!$C$2:$AV$103,46)),0))*I40</f>
        <v>0</v>
      </c>
      <c r="Z40" s="26">
        <f>(IF(AND((P40="Hg"),(J40="Child (0-7 years)")),(VLOOKUP(R40,'Hg Values'!$A$1:$M$30,3)),0))*I40</f>
        <v>0</v>
      </c>
      <c r="AA40" s="26">
        <f>(IF(AND((P40="Hg"),(J40="Child (0-7 years)")),(VLOOKUP(R40,'Hg Values'!$A$1:$M$30,13)),0))*I40</f>
        <v>0</v>
      </c>
      <c r="AB40" s="5">
        <f>(((IF(AND((P40="CA"),(J40="Adult (&gt; 15 years)")),((R40*1)/70)*(VLOOKUP(K40,CA_ingestion!A$1:J$78,4,0)),0))))/11</f>
        <v>0</v>
      </c>
      <c r="AC40" s="5">
        <f t="shared" si="7"/>
        <v>0</v>
      </c>
      <c r="AD40" s="5">
        <f>((IF(AND((P40="CA"),(J40="Adult (&gt; 15 years)")),(AC40*(VLOOKUP(K40,CA_ingestion!A$1:J$78,10,0))),0)))</f>
        <v>0</v>
      </c>
      <c r="AE40" s="5">
        <f t="shared" si="8"/>
        <v>0</v>
      </c>
      <c r="AF40" s="5">
        <f t="shared" si="9"/>
        <v>0</v>
      </c>
    </row>
    <row r="41" spans="1:32" ht="15.5">
      <c r="A41" s="29"/>
      <c r="B41" s="29">
        <v>0</v>
      </c>
      <c r="C41" s="29" t="s">
        <v>369</v>
      </c>
      <c r="D41" s="29"/>
      <c r="E41" s="29"/>
      <c r="F41" s="26" t="str">
        <f>Summary!C$23</f>
        <v>Afghanistan</v>
      </c>
      <c r="G41" s="29"/>
      <c r="H41" s="29" t="s">
        <v>369</v>
      </c>
      <c r="I41" s="33">
        <f>VLOOKUP(H41,'List Data'!$A$100:$B$104,2,0)</f>
        <v>0</v>
      </c>
      <c r="J41" s="29" t="s">
        <v>213</v>
      </c>
      <c r="K41" s="29" t="s">
        <v>213</v>
      </c>
      <c r="L41" s="29">
        <v>0</v>
      </c>
      <c r="M41" s="37">
        <f>S41*Summary!$H$27</f>
        <v>0</v>
      </c>
      <c r="N41" s="37">
        <f>T41*Summary!$H$25</f>
        <v>0</v>
      </c>
      <c r="O41" s="34">
        <f>(VLOOKUP(C41,'List Data'!A$106:B$109,2,0))*B41</f>
        <v>0</v>
      </c>
      <c r="P41" s="26">
        <f>VLOOKUP(K41,'List Data'!A$2:C$94,3,0)</f>
        <v>0</v>
      </c>
      <c r="Q41" s="26" t="str">
        <f>VLOOKUP(K41,'List Data'!A$2:B$94,2,0)</f>
        <v>--------</v>
      </c>
      <c r="R41" s="26">
        <f t="shared" si="4"/>
        <v>0</v>
      </c>
      <c r="S41" s="26">
        <f t="shared" si="5"/>
        <v>0</v>
      </c>
      <c r="T41" s="26">
        <f t="shared" si="6"/>
        <v>0</v>
      </c>
      <c r="U41" s="26">
        <f>(IF(AND((P41="OP"),(J41="Child (0-7 years)")),VLOOKUP(R41,'OP Values'!$A$1:$Q$35,7),))*I41</f>
        <v>0</v>
      </c>
      <c r="V41" s="26">
        <f>(IF(P41="OP",VLOOKUP($R41,'OP Values'!$A$1:$Q$35,17),))*I41</f>
        <v>0</v>
      </c>
      <c r="W41" s="26">
        <f>(IF(AND((P41="Pb"),(J41="Child (0-7 years)")),(VLOOKUP(R41,Pb!$C$2:$AV$103,11)),0))*I41</f>
        <v>0</v>
      </c>
      <c r="X41" s="26">
        <f>(IF(AND((P41="Pb"),(J41="Child (0-7 years)")),(VLOOKUP(R41,Pb!$C$2:$AV$103,20)),0))*I41</f>
        <v>0</v>
      </c>
      <c r="Y41" s="26">
        <f>(IF(AND((P41="Pb"),(J41="Adult (&gt; 15 years)")),(VLOOKUP(R41,Pb!$C$2:$AV$103,46)),0))*I41</f>
        <v>0</v>
      </c>
      <c r="Z41" s="26">
        <f>(IF(AND((P41="Hg"),(J41="Child (0-7 years)")),(VLOOKUP(R41,'Hg Values'!$A$1:$M$30,3)),0))*I41</f>
        <v>0</v>
      </c>
      <c r="AA41" s="26">
        <f>(IF(AND((P41="Hg"),(J41="Child (0-7 years)")),(VLOOKUP(R41,'Hg Values'!$A$1:$M$30,13)),0))*I41</f>
        <v>0</v>
      </c>
      <c r="AB41" s="5">
        <f>(((IF(AND((P41="CA"),(J41="Adult (&gt; 15 years)")),((R41*1)/70)*(VLOOKUP(K41,CA_ingestion!A$1:J$78,4,0)),0))))/11</f>
        <v>0</v>
      </c>
      <c r="AC41" s="5">
        <f t="shared" si="7"/>
        <v>0</v>
      </c>
      <c r="AD41" s="5">
        <f>((IF(AND((P41="CA"),(J41="Adult (&gt; 15 years)")),(AC41*(VLOOKUP(K41,CA_ingestion!A$1:J$78,10,0))),0)))</f>
        <v>0</v>
      </c>
      <c r="AE41" s="5">
        <f t="shared" si="8"/>
        <v>0</v>
      </c>
      <c r="AF41" s="5">
        <f t="shared" si="9"/>
        <v>0</v>
      </c>
    </row>
    <row r="42" spans="1:32" ht="15.5">
      <c r="A42" s="29"/>
      <c r="B42" s="29">
        <v>0</v>
      </c>
      <c r="C42" s="29" t="s">
        <v>369</v>
      </c>
      <c r="D42" s="29"/>
      <c r="E42" s="29"/>
      <c r="F42" s="26" t="str">
        <f>Summary!C$23</f>
        <v>Afghanistan</v>
      </c>
      <c r="G42" s="29"/>
      <c r="H42" s="29" t="s">
        <v>369</v>
      </c>
      <c r="I42" s="33">
        <f>VLOOKUP(H42,'List Data'!$A$100:$B$104,2,0)</f>
        <v>0</v>
      </c>
      <c r="J42" s="29" t="s">
        <v>213</v>
      </c>
      <c r="K42" s="29" t="s">
        <v>213</v>
      </c>
      <c r="L42" s="29">
        <v>0</v>
      </c>
      <c r="M42" s="37">
        <f>S42*Summary!$H$27</f>
        <v>0</v>
      </c>
      <c r="N42" s="37">
        <f>T42*Summary!$H$25</f>
        <v>0</v>
      </c>
      <c r="O42" s="34">
        <f>(VLOOKUP(C42,'List Data'!A$106:B$109,2,0))*B42</f>
        <v>0</v>
      </c>
      <c r="P42" s="26">
        <f>VLOOKUP(K42,'List Data'!A$2:C$94,3,0)</f>
        <v>0</v>
      </c>
      <c r="Q42" s="26" t="str">
        <f>VLOOKUP(K42,'List Data'!A$2:B$94,2,0)</f>
        <v>--------</v>
      </c>
      <c r="R42" s="26">
        <f t="shared" si="4"/>
        <v>0</v>
      </c>
      <c r="S42" s="26">
        <f t="shared" si="5"/>
        <v>0</v>
      </c>
      <c r="T42" s="26">
        <f t="shared" si="6"/>
        <v>0</v>
      </c>
      <c r="U42" s="26">
        <f>(IF(AND((P42="OP"),(J42="Child (0-7 years)")),VLOOKUP(R42,'OP Values'!$A$1:$Q$35,7),))*I42</f>
        <v>0</v>
      </c>
      <c r="V42" s="26">
        <f>(IF(P42="OP",VLOOKUP($R42,'OP Values'!$A$1:$Q$35,17),))*I42</f>
        <v>0</v>
      </c>
      <c r="W42" s="26">
        <f>(IF(AND((P42="Pb"),(J42="Child (0-7 years)")),(VLOOKUP(R42,Pb!$C$2:$AV$103,11)),0))*I42</f>
        <v>0</v>
      </c>
      <c r="X42" s="26">
        <f>(IF(AND((P42="Pb"),(J42="Child (0-7 years)")),(VLOOKUP(R42,Pb!$C$2:$AV$103,20)),0))*I42</f>
        <v>0</v>
      </c>
      <c r="Y42" s="26">
        <f>(IF(AND((P42="Pb"),(J42="Adult (&gt; 15 years)")),(VLOOKUP(R42,Pb!$C$2:$AV$103,46)),0))*I42</f>
        <v>0</v>
      </c>
      <c r="Z42" s="26">
        <f>(IF(AND((P42="Hg"),(J42="Child (0-7 years)")),(VLOOKUP(R42,'Hg Values'!$A$1:$M$30,3)),0))*I42</f>
        <v>0</v>
      </c>
      <c r="AA42" s="26">
        <f>(IF(AND((P42="Hg"),(J42="Child (0-7 years)")),(VLOOKUP(R42,'Hg Values'!$A$1:$M$30,13)),0))*I42</f>
        <v>0</v>
      </c>
      <c r="AB42" s="5">
        <f>(((IF(AND((P42="CA"),(J42="Adult (&gt; 15 years)")),((R42*1)/70)*(VLOOKUP(K42,CA_ingestion!A$1:J$78,4,0)),0))))/11</f>
        <v>0</v>
      </c>
      <c r="AC42" s="5">
        <f t="shared" si="7"/>
        <v>0</v>
      </c>
      <c r="AD42" s="5">
        <f>((IF(AND((P42="CA"),(J42="Adult (&gt; 15 years)")),(AC42*(VLOOKUP(K42,CA_ingestion!A$1:J$78,10,0))),0)))</f>
        <v>0</v>
      </c>
      <c r="AE42" s="5">
        <f t="shared" si="8"/>
        <v>0</v>
      </c>
      <c r="AF42" s="5">
        <f t="shared" si="9"/>
        <v>0</v>
      </c>
    </row>
    <row r="43" spans="1:32" ht="15.5">
      <c r="A43" s="29"/>
      <c r="B43" s="29">
        <v>0</v>
      </c>
      <c r="C43" s="29" t="s">
        <v>369</v>
      </c>
      <c r="D43" s="29"/>
      <c r="E43" s="29"/>
      <c r="F43" s="26" t="str">
        <f>Summary!C$23</f>
        <v>Afghanistan</v>
      </c>
      <c r="G43" s="29"/>
      <c r="H43" s="29" t="s">
        <v>369</v>
      </c>
      <c r="I43" s="33">
        <f>VLOOKUP(H43,'List Data'!$A$100:$B$104,2,0)</f>
        <v>0</v>
      </c>
      <c r="J43" s="29" t="s">
        <v>213</v>
      </c>
      <c r="K43" s="29" t="s">
        <v>213</v>
      </c>
      <c r="L43" s="29">
        <v>0</v>
      </c>
      <c r="M43" s="37">
        <f>S43*Summary!$H$27</f>
        <v>0</v>
      </c>
      <c r="N43" s="37">
        <f>T43*Summary!$H$25</f>
        <v>0</v>
      </c>
      <c r="O43" s="34">
        <f>(VLOOKUP(C43,'List Data'!A$106:B$109,2,0))*B43</f>
        <v>0</v>
      </c>
      <c r="P43" s="26">
        <f>VLOOKUP(K43,'List Data'!A$2:C$94,3,0)</f>
        <v>0</v>
      </c>
      <c r="Q43" s="26" t="str">
        <f>VLOOKUP(K43,'List Data'!A$2:B$94,2,0)</f>
        <v>--------</v>
      </c>
      <c r="R43" s="26">
        <f t="shared" si="4"/>
        <v>0</v>
      </c>
      <c r="S43" s="26">
        <f t="shared" si="5"/>
        <v>0</v>
      </c>
      <c r="T43" s="26">
        <f t="shared" si="6"/>
        <v>0</v>
      </c>
      <c r="U43" s="26">
        <f>(IF(AND((P43="OP"),(J43="Child (0-7 years)")),VLOOKUP(R43,'OP Values'!$A$1:$Q$35,7),))*I43</f>
        <v>0</v>
      </c>
      <c r="V43" s="26">
        <f>(IF(P43="OP",VLOOKUP($R43,'OP Values'!$A$1:$Q$35,17),))*I43</f>
        <v>0</v>
      </c>
      <c r="W43" s="26">
        <f>(IF(AND((P43="Pb"),(J43="Child (0-7 years)")),(VLOOKUP(R43,Pb!$C$2:$AV$103,11)),0))*I43</f>
        <v>0</v>
      </c>
      <c r="X43" s="26">
        <f>(IF(AND((P43="Pb"),(J43="Child (0-7 years)")),(VLOOKUP(R43,Pb!$C$2:$AV$103,20)),0))*I43</f>
        <v>0</v>
      </c>
      <c r="Y43" s="26">
        <f>(IF(AND((P43="Pb"),(J43="Adult (&gt; 15 years)")),(VLOOKUP(R43,Pb!$C$2:$AV$103,46)),0))*I43</f>
        <v>0</v>
      </c>
      <c r="Z43" s="26">
        <f>(IF(AND((P43="Hg"),(J43="Child (0-7 years)")),(VLOOKUP(R43,'Hg Values'!$A$1:$M$30,3)),0))*I43</f>
        <v>0</v>
      </c>
      <c r="AA43" s="26">
        <f>(IF(AND((P43="Hg"),(J43="Child (0-7 years)")),(VLOOKUP(R43,'Hg Values'!$A$1:$M$30,13)),0))*I43</f>
        <v>0</v>
      </c>
      <c r="AB43" s="5">
        <f>(((IF(AND((P43="CA"),(J43="Adult (&gt; 15 years)")),((R43*1)/70)*(VLOOKUP(K43,CA_ingestion!A$1:J$78,4,0)),0))))/11</f>
        <v>0</v>
      </c>
      <c r="AC43" s="5">
        <f t="shared" si="7"/>
        <v>0</v>
      </c>
      <c r="AD43" s="5">
        <f>((IF(AND((P43="CA"),(J43="Adult (&gt; 15 years)")),(AC43*(VLOOKUP(K43,CA_ingestion!A$1:J$78,10,0))),0)))</f>
        <v>0</v>
      </c>
      <c r="AE43" s="5">
        <f t="shared" si="8"/>
        <v>0</v>
      </c>
      <c r="AF43" s="5">
        <f t="shared" si="9"/>
        <v>0</v>
      </c>
    </row>
    <row r="44" spans="1:32" ht="15.5">
      <c r="A44" s="29"/>
      <c r="B44" s="29">
        <v>0</v>
      </c>
      <c r="C44" s="29" t="s">
        <v>369</v>
      </c>
      <c r="D44" s="29"/>
      <c r="E44" s="29"/>
      <c r="F44" s="26" t="str">
        <f>Summary!C$23</f>
        <v>Afghanistan</v>
      </c>
      <c r="G44" s="29"/>
      <c r="H44" s="29" t="s">
        <v>369</v>
      </c>
      <c r="I44" s="33">
        <f>VLOOKUP(H44,'List Data'!$A$100:$B$104,2,0)</f>
        <v>0</v>
      </c>
      <c r="J44" s="29" t="s">
        <v>213</v>
      </c>
      <c r="K44" s="29" t="s">
        <v>213</v>
      </c>
      <c r="L44" s="29">
        <v>0</v>
      </c>
      <c r="M44" s="37">
        <f>S44*Summary!$H$27</f>
        <v>0</v>
      </c>
      <c r="N44" s="37">
        <f>T44*Summary!$H$25</f>
        <v>0</v>
      </c>
      <c r="O44" s="34">
        <f>(VLOOKUP(C44,'List Data'!A$106:B$109,2,0))*B44</f>
        <v>0</v>
      </c>
      <c r="P44" s="26">
        <f>VLOOKUP(K44,'List Data'!A$2:C$94,3,0)</f>
        <v>0</v>
      </c>
      <c r="Q44" s="26" t="str">
        <f>VLOOKUP(K44,'List Data'!A$2:B$94,2,0)</f>
        <v>--------</v>
      </c>
      <c r="R44" s="26">
        <f t="shared" si="4"/>
        <v>0</v>
      </c>
      <c r="S44" s="26">
        <f t="shared" si="5"/>
        <v>0</v>
      </c>
      <c r="T44" s="26">
        <f t="shared" si="6"/>
        <v>0</v>
      </c>
      <c r="U44" s="26">
        <f>(IF(AND((P44="OP"),(J44="Child (0-7 years)")),VLOOKUP(R44,'OP Values'!$A$1:$Q$35,7),))*I44</f>
        <v>0</v>
      </c>
      <c r="V44" s="26">
        <f>(IF(P44="OP",VLOOKUP($R44,'OP Values'!$A$1:$Q$35,17),))*I44</f>
        <v>0</v>
      </c>
      <c r="W44" s="26">
        <f>(IF(AND((P44="Pb"),(J44="Child (0-7 years)")),(VLOOKUP(R44,Pb!$C$2:$AV$103,11)),0))*I44</f>
        <v>0</v>
      </c>
      <c r="X44" s="26">
        <f>(IF(AND((P44="Pb"),(J44="Child (0-7 years)")),(VLOOKUP(R44,Pb!$C$2:$AV$103,20)),0))*I44</f>
        <v>0</v>
      </c>
      <c r="Y44" s="26">
        <f>(IF(AND((P44="Pb"),(J44="Adult (&gt; 15 years)")),(VLOOKUP(R44,Pb!$C$2:$AV$103,46)),0))*I44</f>
        <v>0</v>
      </c>
      <c r="Z44" s="26">
        <f>(IF(AND((P44="Hg"),(J44="Child (0-7 years)")),(VLOOKUP(R44,'Hg Values'!$A$1:$M$30,3)),0))*I44</f>
        <v>0</v>
      </c>
      <c r="AA44" s="26">
        <f>(IF(AND((P44="Hg"),(J44="Child (0-7 years)")),(VLOOKUP(R44,'Hg Values'!$A$1:$M$30,13)),0))*I44</f>
        <v>0</v>
      </c>
      <c r="AB44" s="5">
        <f>(((IF(AND((P44="CA"),(J44="Adult (&gt; 15 years)")),((R44*1)/70)*(VLOOKUP(K44,CA_ingestion!A$1:J$78,4,0)),0))))/11</f>
        <v>0</v>
      </c>
      <c r="AC44" s="5">
        <f t="shared" si="7"/>
        <v>0</v>
      </c>
      <c r="AD44" s="5">
        <f>((IF(AND((P44="CA"),(J44="Adult (&gt; 15 years)")),(AC44*(VLOOKUP(K44,CA_ingestion!A$1:J$78,10,0))),0)))</f>
        <v>0</v>
      </c>
      <c r="AE44" s="5">
        <f t="shared" si="8"/>
        <v>0</v>
      </c>
      <c r="AF44" s="5">
        <f t="shared" si="9"/>
        <v>0</v>
      </c>
    </row>
    <row r="45" spans="1:32" ht="15.5">
      <c r="A45" s="29"/>
      <c r="B45" s="29">
        <v>0</v>
      </c>
      <c r="C45" s="29" t="s">
        <v>369</v>
      </c>
      <c r="D45" s="29"/>
      <c r="E45" s="29"/>
      <c r="F45" s="26" t="str">
        <f>Summary!C$23</f>
        <v>Afghanistan</v>
      </c>
      <c r="G45" s="29"/>
      <c r="H45" s="29" t="s">
        <v>369</v>
      </c>
      <c r="I45" s="33">
        <f>VLOOKUP(H45,'List Data'!$A$100:$B$104,2,0)</f>
        <v>0</v>
      </c>
      <c r="J45" s="29" t="s">
        <v>213</v>
      </c>
      <c r="K45" s="29" t="s">
        <v>213</v>
      </c>
      <c r="L45" s="29">
        <v>0</v>
      </c>
      <c r="M45" s="37">
        <f>S45*Summary!$H$27</f>
        <v>0</v>
      </c>
      <c r="N45" s="37">
        <f>T45*Summary!$H$25</f>
        <v>0</v>
      </c>
      <c r="O45" s="34">
        <f>(VLOOKUP(C45,'List Data'!A$106:B$109,2,0))*B45</f>
        <v>0</v>
      </c>
      <c r="P45" s="26">
        <f>VLOOKUP(K45,'List Data'!A$2:C$94,3,0)</f>
        <v>0</v>
      </c>
      <c r="Q45" s="26" t="str">
        <f>VLOOKUP(K45,'List Data'!A$2:B$94,2,0)</f>
        <v>--------</v>
      </c>
      <c r="R45" s="26">
        <f t="shared" si="4"/>
        <v>0</v>
      </c>
      <c r="S45" s="26">
        <f t="shared" si="5"/>
        <v>0</v>
      </c>
      <c r="T45" s="26">
        <f t="shared" si="6"/>
        <v>0</v>
      </c>
      <c r="U45" s="26">
        <f>(IF(AND((P45="OP"),(J45="Child (0-7 years)")),VLOOKUP(R45,'OP Values'!$A$1:$Q$35,7),))*I45</f>
        <v>0</v>
      </c>
      <c r="V45" s="26">
        <f>(IF(P45="OP",VLOOKUP($R45,'OP Values'!$A$1:$Q$35,17),))*I45</f>
        <v>0</v>
      </c>
      <c r="W45" s="26">
        <f>(IF(AND((P45="Pb"),(J45="Child (0-7 years)")),(VLOOKUP(R45,Pb!$C$2:$AV$103,11)),0))*I45</f>
        <v>0</v>
      </c>
      <c r="X45" s="26">
        <f>(IF(AND((P45="Pb"),(J45="Child (0-7 years)")),(VLOOKUP(R45,Pb!$C$2:$AV$103,20)),0))*I45</f>
        <v>0</v>
      </c>
      <c r="Y45" s="26">
        <f>(IF(AND((P45="Pb"),(J45="Adult (&gt; 15 years)")),(VLOOKUP(R45,Pb!$C$2:$AV$103,46)),0))*I45</f>
        <v>0</v>
      </c>
      <c r="Z45" s="26">
        <f>(IF(AND((P45="Hg"),(J45="Child (0-7 years)")),(VLOOKUP(R45,'Hg Values'!$A$1:$M$30,3)),0))*I45</f>
        <v>0</v>
      </c>
      <c r="AA45" s="26">
        <f>(IF(AND((P45="Hg"),(J45="Child (0-7 years)")),(VLOOKUP(R45,'Hg Values'!$A$1:$M$30,13)),0))*I45</f>
        <v>0</v>
      </c>
      <c r="AB45" s="5">
        <f>(((IF(AND((P45="CA"),(J45="Adult (&gt; 15 years)")),((R45*1)/70)*(VLOOKUP(K45,CA_ingestion!A$1:J$78,4,0)),0))))/11</f>
        <v>0</v>
      </c>
      <c r="AC45" s="5">
        <f t="shared" si="7"/>
        <v>0</v>
      </c>
      <c r="AD45" s="5">
        <f>((IF(AND((P45="CA"),(J45="Adult (&gt; 15 years)")),(AC45*(VLOOKUP(K45,CA_ingestion!A$1:J$78,10,0))),0)))</f>
        <v>0</v>
      </c>
      <c r="AE45" s="5">
        <f t="shared" si="8"/>
        <v>0</v>
      </c>
      <c r="AF45" s="5">
        <f t="shared" si="9"/>
        <v>0</v>
      </c>
    </row>
    <row r="46" spans="1:32" ht="15.5">
      <c r="A46" s="29"/>
      <c r="B46" s="29">
        <v>0</v>
      </c>
      <c r="C46" s="29" t="s">
        <v>369</v>
      </c>
      <c r="D46" s="29"/>
      <c r="E46" s="29"/>
      <c r="F46" s="26" t="str">
        <f>Summary!C$23</f>
        <v>Afghanistan</v>
      </c>
      <c r="G46" s="29"/>
      <c r="H46" s="29" t="s">
        <v>369</v>
      </c>
      <c r="I46" s="33">
        <f>VLOOKUP(H46,'List Data'!$A$100:$B$104,2,0)</f>
        <v>0</v>
      </c>
      <c r="J46" s="29" t="s">
        <v>213</v>
      </c>
      <c r="K46" s="29" t="s">
        <v>213</v>
      </c>
      <c r="L46" s="29">
        <v>0</v>
      </c>
      <c r="M46" s="37">
        <f>S46*Summary!$H$27</f>
        <v>0</v>
      </c>
      <c r="N46" s="37">
        <f>T46*Summary!$H$25</f>
        <v>0</v>
      </c>
      <c r="O46" s="34">
        <f>(VLOOKUP(C46,'List Data'!A$106:B$109,2,0))*B46</f>
        <v>0</v>
      </c>
      <c r="P46" s="26">
        <f>VLOOKUP(K46,'List Data'!A$2:C$94,3,0)</f>
        <v>0</v>
      </c>
      <c r="Q46" s="26" t="str">
        <f>VLOOKUP(K46,'List Data'!A$2:B$94,2,0)</f>
        <v>--------</v>
      </c>
      <c r="R46" s="26">
        <f t="shared" si="4"/>
        <v>0</v>
      </c>
      <c r="S46" s="26">
        <f t="shared" si="5"/>
        <v>0</v>
      </c>
      <c r="T46" s="26">
        <f t="shared" si="6"/>
        <v>0</v>
      </c>
      <c r="U46" s="26">
        <f>(IF(AND((P46="OP"),(J46="Child (0-7 years)")),VLOOKUP(R46,'OP Values'!$A$1:$Q$35,7),))*I46</f>
        <v>0</v>
      </c>
      <c r="V46" s="26">
        <f>(IF(P46="OP",VLOOKUP($R46,'OP Values'!$A$1:$Q$35,17),))*I46</f>
        <v>0</v>
      </c>
      <c r="W46" s="26">
        <f>(IF(AND((P46="Pb"),(J46="Child (0-7 years)")),(VLOOKUP(R46,Pb!$C$2:$AV$103,11)),0))*I46</f>
        <v>0</v>
      </c>
      <c r="X46" s="26">
        <f>(IF(AND((P46="Pb"),(J46="Child (0-7 years)")),(VLOOKUP(R46,Pb!$C$2:$AV$103,20)),0))*I46</f>
        <v>0</v>
      </c>
      <c r="Y46" s="26">
        <f>(IF(AND((P46="Pb"),(J46="Adult (&gt; 15 years)")),(VLOOKUP(R46,Pb!$C$2:$AV$103,46)),0))*I46</f>
        <v>0</v>
      </c>
      <c r="Z46" s="26">
        <f>(IF(AND((P46="Hg"),(J46="Child (0-7 years)")),(VLOOKUP(R46,'Hg Values'!$A$1:$M$30,3)),0))*I46</f>
        <v>0</v>
      </c>
      <c r="AA46" s="26">
        <f>(IF(AND((P46="Hg"),(J46="Child (0-7 years)")),(VLOOKUP(R46,'Hg Values'!$A$1:$M$30,13)),0))*I46</f>
        <v>0</v>
      </c>
      <c r="AB46" s="5">
        <f>(((IF(AND((P46="CA"),(J46="Adult (&gt; 15 years)")),((R46*1)/70)*(VLOOKUP(K46,CA_ingestion!A$1:J$78,4,0)),0))))/11</f>
        <v>0</v>
      </c>
      <c r="AC46" s="5">
        <f t="shared" si="7"/>
        <v>0</v>
      </c>
      <c r="AD46" s="5">
        <f>((IF(AND((P46="CA"),(J46="Adult (&gt; 15 years)")),(AC46*(VLOOKUP(K46,CA_ingestion!A$1:J$78,10,0))),0)))</f>
        <v>0</v>
      </c>
      <c r="AE46" s="5">
        <f t="shared" si="8"/>
        <v>0</v>
      </c>
      <c r="AF46" s="5">
        <f t="shared" si="9"/>
        <v>0</v>
      </c>
    </row>
    <row r="47" spans="1:32" ht="15.5">
      <c r="A47" s="29"/>
      <c r="B47" s="29">
        <v>0</v>
      </c>
      <c r="C47" s="29" t="s">
        <v>369</v>
      </c>
      <c r="D47" s="29"/>
      <c r="E47" s="29"/>
      <c r="F47" s="26" t="str">
        <f>Summary!C$23</f>
        <v>Afghanistan</v>
      </c>
      <c r="G47" s="29"/>
      <c r="H47" s="29" t="s">
        <v>369</v>
      </c>
      <c r="I47" s="33">
        <f>VLOOKUP(H47,'List Data'!$A$100:$B$104,2,0)</f>
        <v>0</v>
      </c>
      <c r="J47" s="29" t="s">
        <v>213</v>
      </c>
      <c r="K47" s="29" t="s">
        <v>213</v>
      </c>
      <c r="L47" s="29">
        <v>0</v>
      </c>
      <c r="M47" s="37">
        <f>S47*Summary!$H$27</f>
        <v>0</v>
      </c>
      <c r="N47" s="37">
        <f>T47*Summary!$H$25</f>
        <v>0</v>
      </c>
      <c r="O47" s="34">
        <f>(VLOOKUP(C47,'List Data'!A$106:B$109,2,0))*B47</f>
        <v>0</v>
      </c>
      <c r="P47" s="26">
        <f>VLOOKUP(K47,'List Data'!A$2:C$94,3,0)</f>
        <v>0</v>
      </c>
      <c r="Q47" s="26" t="str">
        <f>VLOOKUP(K47,'List Data'!A$2:B$94,2,0)</f>
        <v>--------</v>
      </c>
      <c r="R47" s="26">
        <f t="shared" si="4"/>
        <v>0</v>
      </c>
      <c r="S47" s="26">
        <f t="shared" si="5"/>
        <v>0</v>
      </c>
      <c r="T47" s="26">
        <f t="shared" si="6"/>
        <v>0</v>
      </c>
      <c r="U47" s="26">
        <f>(IF(AND((P47="OP"),(J47="Child (0-7 years)")),VLOOKUP(R47,'OP Values'!$A$1:$Q$35,7),))*I47</f>
        <v>0</v>
      </c>
      <c r="V47" s="26">
        <f>(IF(P47="OP",VLOOKUP($R47,'OP Values'!$A$1:$Q$35,17),))*I47</f>
        <v>0</v>
      </c>
      <c r="W47" s="26">
        <f>(IF(AND((P47="Pb"),(J47="Child (0-7 years)")),(VLOOKUP(R47,Pb!$C$2:$AV$103,11)),0))*I47</f>
        <v>0</v>
      </c>
      <c r="X47" s="26">
        <f>(IF(AND((P47="Pb"),(J47="Child (0-7 years)")),(VLOOKUP(R47,Pb!$C$2:$AV$103,20)),0))*I47</f>
        <v>0</v>
      </c>
      <c r="Y47" s="26">
        <f>(IF(AND((P47="Pb"),(J47="Adult (&gt; 15 years)")),(VLOOKUP(R47,Pb!$C$2:$AV$103,46)),0))*I47</f>
        <v>0</v>
      </c>
      <c r="Z47" s="26">
        <f>(IF(AND((P47="Hg"),(J47="Child (0-7 years)")),(VLOOKUP(R47,'Hg Values'!$A$1:$M$30,3)),0))*I47</f>
        <v>0</v>
      </c>
      <c r="AA47" s="26">
        <f>(IF(AND((P47="Hg"),(J47="Child (0-7 years)")),(VLOOKUP(R47,'Hg Values'!$A$1:$M$30,13)),0))*I47</f>
        <v>0</v>
      </c>
      <c r="AB47" s="5">
        <f>(((IF(AND((P47="CA"),(J47="Adult (&gt; 15 years)")),((R47*1)/70)*(VLOOKUP(K47,CA_ingestion!A$1:J$78,4,0)),0))))/11</f>
        <v>0</v>
      </c>
      <c r="AC47" s="5">
        <f t="shared" si="7"/>
        <v>0</v>
      </c>
      <c r="AD47" s="5">
        <f>((IF(AND((P47="CA"),(J47="Adult (&gt; 15 years)")),(AC47*(VLOOKUP(K47,CA_ingestion!A$1:J$78,10,0))),0)))</f>
        <v>0</v>
      </c>
      <c r="AE47" s="5">
        <f t="shared" si="8"/>
        <v>0</v>
      </c>
      <c r="AF47" s="5">
        <f t="shared" si="9"/>
        <v>0</v>
      </c>
    </row>
    <row r="48" spans="1:32" ht="15.5">
      <c r="A48" s="29"/>
      <c r="B48" s="29">
        <v>0</v>
      </c>
      <c r="C48" s="29" t="s">
        <v>369</v>
      </c>
      <c r="D48" s="29"/>
      <c r="E48" s="29"/>
      <c r="F48" s="26" t="str">
        <f>Summary!C$23</f>
        <v>Afghanistan</v>
      </c>
      <c r="G48" s="29"/>
      <c r="H48" s="29" t="s">
        <v>369</v>
      </c>
      <c r="I48" s="33">
        <f>VLOOKUP(H48,'List Data'!$A$100:$B$104,2,0)</f>
        <v>0</v>
      </c>
      <c r="J48" s="29" t="s">
        <v>213</v>
      </c>
      <c r="K48" s="29" t="s">
        <v>213</v>
      </c>
      <c r="L48" s="29">
        <v>0</v>
      </c>
      <c r="M48" s="37">
        <f>S48*Summary!$H$27</f>
        <v>0</v>
      </c>
      <c r="N48" s="37">
        <f>T48*Summary!$H$25</f>
        <v>0</v>
      </c>
      <c r="O48" s="34">
        <f>(VLOOKUP(C48,'List Data'!A$106:B$109,2,0))*B48</f>
        <v>0</v>
      </c>
      <c r="P48" s="26">
        <f>VLOOKUP(K48,'List Data'!A$2:C$94,3,0)</f>
        <v>0</v>
      </c>
      <c r="Q48" s="26" t="str">
        <f>VLOOKUP(K48,'List Data'!A$2:B$94,2,0)</f>
        <v>--------</v>
      </c>
      <c r="R48" s="26">
        <f t="shared" si="4"/>
        <v>0</v>
      </c>
      <c r="S48" s="26">
        <f t="shared" si="5"/>
        <v>0</v>
      </c>
      <c r="T48" s="26">
        <f t="shared" si="6"/>
        <v>0</v>
      </c>
      <c r="U48" s="26">
        <f>(IF(AND((P48="OP"),(J48="Child (0-7 years)")),VLOOKUP(R48,'OP Values'!$A$1:$Q$35,7),))*I48</f>
        <v>0</v>
      </c>
      <c r="V48" s="26">
        <f>(IF(P48="OP",VLOOKUP($R48,'OP Values'!$A$1:$Q$35,17),))*I48</f>
        <v>0</v>
      </c>
      <c r="W48" s="26">
        <f>(IF(AND((P48="Pb"),(J48="Child (0-7 years)")),(VLOOKUP(R48,Pb!$C$2:$AV$103,11)),0))*I48</f>
        <v>0</v>
      </c>
      <c r="X48" s="26">
        <f>(IF(AND((P48="Pb"),(J48="Child (0-7 years)")),(VLOOKUP(R48,Pb!$C$2:$AV$103,20)),0))*I48</f>
        <v>0</v>
      </c>
      <c r="Y48" s="26">
        <f>(IF(AND((P48="Pb"),(J48="Adult (&gt; 15 years)")),(VLOOKUP(R48,Pb!$C$2:$AV$103,46)),0))*I48</f>
        <v>0</v>
      </c>
      <c r="Z48" s="26">
        <f>(IF(AND((P48="Hg"),(J48="Child (0-7 years)")),(VLOOKUP(R48,'Hg Values'!$A$1:$M$30,3)),0))*I48</f>
        <v>0</v>
      </c>
      <c r="AA48" s="26">
        <f>(IF(AND((P48="Hg"),(J48="Child (0-7 years)")),(VLOOKUP(R48,'Hg Values'!$A$1:$M$30,13)),0))*I48</f>
        <v>0</v>
      </c>
      <c r="AB48" s="5">
        <f>(((IF(AND((P48="CA"),(J48="Adult (&gt; 15 years)")),((R48*1)/70)*(VLOOKUP(K48,CA_ingestion!A$1:J$78,4,0)),0))))/11</f>
        <v>0</v>
      </c>
      <c r="AC48" s="5">
        <f t="shared" si="7"/>
        <v>0</v>
      </c>
      <c r="AD48" s="5">
        <f>((IF(AND((P48="CA"),(J48="Adult (&gt; 15 years)")),(AC48*(VLOOKUP(K48,CA_ingestion!A$1:J$78,10,0))),0)))</f>
        <v>0</v>
      </c>
      <c r="AE48" s="5">
        <f t="shared" si="8"/>
        <v>0</v>
      </c>
      <c r="AF48" s="5">
        <f t="shared" si="9"/>
        <v>0</v>
      </c>
    </row>
    <row r="49" spans="1:32" ht="15.5">
      <c r="A49" s="29"/>
      <c r="B49" s="29">
        <v>0</v>
      </c>
      <c r="C49" s="29" t="s">
        <v>369</v>
      </c>
      <c r="D49" s="29"/>
      <c r="E49" s="29"/>
      <c r="F49" s="26" t="str">
        <f>Summary!C$23</f>
        <v>Afghanistan</v>
      </c>
      <c r="G49" s="29"/>
      <c r="H49" s="29" t="s">
        <v>369</v>
      </c>
      <c r="I49" s="33">
        <f>VLOOKUP(H49,'List Data'!$A$100:$B$104,2,0)</f>
        <v>0</v>
      </c>
      <c r="J49" s="29" t="s">
        <v>213</v>
      </c>
      <c r="K49" s="29" t="s">
        <v>213</v>
      </c>
      <c r="L49" s="29">
        <v>0</v>
      </c>
      <c r="M49" s="37">
        <f>S49*Summary!$H$27</f>
        <v>0</v>
      </c>
      <c r="N49" s="37">
        <f>T49*Summary!$H$25</f>
        <v>0</v>
      </c>
      <c r="O49" s="34">
        <f>(VLOOKUP(C49,'List Data'!A$106:B$109,2,0))*B49</f>
        <v>0</v>
      </c>
      <c r="P49" s="26">
        <f>VLOOKUP(K49,'List Data'!A$2:C$94,3,0)</f>
        <v>0</v>
      </c>
      <c r="Q49" s="26" t="str">
        <f>VLOOKUP(K49,'List Data'!A$2:B$94,2,0)</f>
        <v>--------</v>
      </c>
      <c r="R49" s="26">
        <f t="shared" si="4"/>
        <v>0</v>
      </c>
      <c r="S49" s="26">
        <f t="shared" si="5"/>
        <v>0</v>
      </c>
      <c r="T49" s="26">
        <f t="shared" si="6"/>
        <v>0</v>
      </c>
      <c r="U49" s="26">
        <f>(IF(AND((P49="OP"),(J49="Child (0-7 years)")),VLOOKUP(R49,'OP Values'!$A$1:$Q$35,7),))*I49</f>
        <v>0</v>
      </c>
      <c r="V49" s="26">
        <f>(IF(P49="OP",VLOOKUP($R49,'OP Values'!$A$1:$Q$35,17),))*I49</f>
        <v>0</v>
      </c>
      <c r="W49" s="26">
        <f>(IF(AND((P49="Pb"),(J49="Child (0-7 years)")),(VLOOKUP(R49,Pb!$C$2:$AV$103,11)),0))*I49</f>
        <v>0</v>
      </c>
      <c r="X49" s="26">
        <f>(IF(AND((P49="Pb"),(J49="Child (0-7 years)")),(VLOOKUP(R49,Pb!$C$2:$AV$103,20)),0))*I49</f>
        <v>0</v>
      </c>
      <c r="Y49" s="26">
        <f>(IF(AND((P49="Pb"),(J49="Adult (&gt; 15 years)")),(VLOOKUP(R49,Pb!$C$2:$AV$103,46)),0))*I49</f>
        <v>0</v>
      </c>
      <c r="Z49" s="26">
        <f>(IF(AND((P49="Hg"),(J49="Child (0-7 years)")),(VLOOKUP(R49,'Hg Values'!$A$1:$M$30,3)),0))*I49</f>
        <v>0</v>
      </c>
      <c r="AA49" s="26">
        <f>(IF(AND((P49="Hg"),(J49="Child (0-7 years)")),(VLOOKUP(R49,'Hg Values'!$A$1:$M$30,13)),0))*I49</f>
        <v>0</v>
      </c>
      <c r="AB49" s="5">
        <f>(((IF(AND((P49="CA"),(J49="Adult (&gt; 15 years)")),((R49*1)/70)*(VLOOKUP(K49,CA_ingestion!A$1:J$78,4,0)),0))))/11</f>
        <v>0</v>
      </c>
      <c r="AC49" s="5">
        <f t="shared" si="7"/>
        <v>0</v>
      </c>
      <c r="AD49" s="5">
        <f>((IF(AND((P49="CA"),(J49="Adult (&gt; 15 years)")),(AC49*(VLOOKUP(K49,CA_ingestion!A$1:J$78,10,0))),0)))</f>
        <v>0</v>
      </c>
      <c r="AE49" s="5">
        <f t="shared" si="8"/>
        <v>0</v>
      </c>
      <c r="AF49" s="5">
        <f t="shared" si="9"/>
        <v>0</v>
      </c>
    </row>
    <row r="50" spans="1:32" ht="15.5">
      <c r="A50" s="29"/>
      <c r="B50" s="29">
        <v>0</v>
      </c>
      <c r="C50" s="29" t="s">
        <v>369</v>
      </c>
      <c r="D50" s="29"/>
      <c r="E50" s="29"/>
      <c r="F50" s="26" t="str">
        <f>Summary!C$23</f>
        <v>Afghanistan</v>
      </c>
      <c r="G50" s="29"/>
      <c r="H50" s="29" t="s">
        <v>369</v>
      </c>
      <c r="I50" s="33">
        <f>VLOOKUP(H50,'List Data'!$A$100:$B$104,2,0)</f>
        <v>0</v>
      </c>
      <c r="J50" s="29" t="s">
        <v>213</v>
      </c>
      <c r="K50" s="29" t="s">
        <v>213</v>
      </c>
      <c r="L50" s="29">
        <v>0</v>
      </c>
      <c r="M50" s="37">
        <f>S50*Summary!$H$27</f>
        <v>0</v>
      </c>
      <c r="N50" s="37">
        <f>T50*Summary!$H$25</f>
        <v>0</v>
      </c>
      <c r="O50" s="34">
        <f>(VLOOKUP(C50,'List Data'!A$106:B$109,2,0))*B50</f>
        <v>0</v>
      </c>
      <c r="P50" s="26">
        <f>VLOOKUP(K50,'List Data'!A$2:C$94,3,0)</f>
        <v>0</v>
      </c>
      <c r="Q50" s="26" t="str">
        <f>VLOOKUP(K50,'List Data'!A$2:B$94,2,0)</f>
        <v>--------</v>
      </c>
      <c r="R50" s="26">
        <f t="shared" si="4"/>
        <v>0</v>
      </c>
      <c r="S50" s="26">
        <f t="shared" si="5"/>
        <v>0</v>
      </c>
      <c r="T50" s="26">
        <f t="shared" si="6"/>
        <v>0</v>
      </c>
      <c r="U50" s="26">
        <f>(IF(AND((P50="OP"),(J50="Child (0-7 years)")),VLOOKUP(R50,'OP Values'!$A$1:$Q$35,7),))*I50</f>
        <v>0</v>
      </c>
      <c r="V50" s="26">
        <f>(IF(P50="OP",VLOOKUP($R50,'OP Values'!$A$1:$Q$35,17),))*I50</f>
        <v>0</v>
      </c>
      <c r="W50" s="26">
        <f>(IF(AND((P50="Pb"),(J50="Child (0-7 years)")),(VLOOKUP(R50,Pb!$C$2:$AV$103,11)),0))*I50</f>
        <v>0</v>
      </c>
      <c r="X50" s="26">
        <f>(IF(AND((P50="Pb"),(J50="Child (0-7 years)")),(VLOOKUP(R50,Pb!$C$2:$AV$103,20)),0))*I50</f>
        <v>0</v>
      </c>
      <c r="Y50" s="26">
        <f>(IF(AND((P50="Pb"),(J50="Adult (&gt; 15 years)")),(VLOOKUP(R50,Pb!$C$2:$AV$103,46)),0))*I50</f>
        <v>0</v>
      </c>
      <c r="Z50" s="26">
        <f>(IF(AND((P50="Hg"),(J50="Child (0-7 years)")),(VLOOKUP(R50,'Hg Values'!$A$1:$M$30,3)),0))*I50</f>
        <v>0</v>
      </c>
      <c r="AA50" s="26">
        <f>(IF(AND((P50="Hg"),(J50="Child (0-7 years)")),(VLOOKUP(R50,'Hg Values'!$A$1:$M$30,13)),0))*I50</f>
        <v>0</v>
      </c>
      <c r="AB50" s="5">
        <f>(((IF(AND((P50="CA"),(J50="Adult (&gt; 15 years)")),((R50*1)/70)*(VLOOKUP(K50,CA_ingestion!A$1:J$78,4,0)),0))))/11</f>
        <v>0</v>
      </c>
      <c r="AC50" s="5">
        <f t="shared" si="7"/>
        <v>0</v>
      </c>
      <c r="AD50" s="5">
        <f>((IF(AND((P50="CA"),(J50="Adult (&gt; 15 years)")),(AC50*(VLOOKUP(K50,CA_ingestion!A$1:J$78,10,0))),0)))</f>
        <v>0</v>
      </c>
      <c r="AE50" s="5">
        <f t="shared" si="8"/>
        <v>0</v>
      </c>
      <c r="AF50" s="5">
        <f t="shared" si="9"/>
        <v>0</v>
      </c>
    </row>
    <row r="51" spans="1:32" ht="15.5">
      <c r="A51" s="29"/>
      <c r="B51" s="29">
        <v>0</v>
      </c>
      <c r="C51" s="29" t="s">
        <v>369</v>
      </c>
      <c r="D51" s="29"/>
      <c r="E51" s="29"/>
      <c r="F51" s="26" t="str">
        <f>Summary!C$23</f>
        <v>Afghanistan</v>
      </c>
      <c r="G51" s="29"/>
      <c r="H51" s="29" t="s">
        <v>369</v>
      </c>
      <c r="I51" s="33">
        <f>VLOOKUP(H51,'List Data'!$A$100:$B$104,2,0)</f>
        <v>0</v>
      </c>
      <c r="J51" s="29" t="s">
        <v>213</v>
      </c>
      <c r="K51" s="29" t="s">
        <v>213</v>
      </c>
      <c r="L51" s="29">
        <v>0</v>
      </c>
      <c r="M51" s="37">
        <f>S51*Summary!$H$27</f>
        <v>0</v>
      </c>
      <c r="N51" s="37">
        <f>T51*Summary!$H$25</f>
        <v>0</v>
      </c>
      <c r="O51" s="34">
        <f>(VLOOKUP(C51,'List Data'!A$106:B$109,2,0))*B51</f>
        <v>0</v>
      </c>
      <c r="P51" s="26">
        <f>VLOOKUP(K51,'List Data'!A$2:C$94,3,0)</f>
        <v>0</v>
      </c>
      <c r="Q51" s="26" t="str">
        <f>VLOOKUP(K51,'List Data'!A$2:B$94,2,0)</f>
        <v>--------</v>
      </c>
      <c r="R51" s="26">
        <f t="shared" si="4"/>
        <v>0</v>
      </c>
      <c r="S51" s="26">
        <f t="shared" si="5"/>
        <v>0</v>
      </c>
      <c r="T51" s="26">
        <f t="shared" si="6"/>
        <v>0</v>
      </c>
      <c r="U51" s="26">
        <f>(IF(AND((P51="OP"),(J51="Child (0-7 years)")),VLOOKUP(R51,'OP Values'!$A$1:$Q$35,7),))*I51</f>
        <v>0</v>
      </c>
      <c r="V51" s="26">
        <f>(IF(P51="OP",VLOOKUP($R51,'OP Values'!$A$1:$Q$35,17),))*I51</f>
        <v>0</v>
      </c>
      <c r="W51" s="26">
        <f>(IF(AND((P51="Pb"),(J51="Child (0-7 years)")),(VLOOKUP(R51,Pb!$C$2:$AV$103,11)),0))*I51</f>
        <v>0</v>
      </c>
      <c r="X51" s="26">
        <f>(IF(AND((P51="Pb"),(J51="Child (0-7 years)")),(VLOOKUP(R51,Pb!$C$2:$AV$103,20)),0))*I51</f>
        <v>0</v>
      </c>
      <c r="Y51" s="26">
        <f>(IF(AND((P51="Pb"),(J51="Adult (&gt; 15 years)")),(VLOOKUP(R51,Pb!$C$2:$AV$103,46)),0))*I51</f>
        <v>0</v>
      </c>
      <c r="Z51" s="26">
        <f>(IF(AND((P51="Hg"),(J51="Child (0-7 years)")),(VLOOKUP(R51,'Hg Values'!$A$1:$M$30,3)),0))*I51</f>
        <v>0</v>
      </c>
      <c r="AA51" s="26">
        <f>(IF(AND((P51="Hg"),(J51="Child (0-7 years)")),(VLOOKUP(R51,'Hg Values'!$A$1:$M$30,13)),0))*I51</f>
        <v>0</v>
      </c>
      <c r="AB51" s="5">
        <f>(((IF(AND((P51="CA"),(J51="Adult (&gt; 15 years)")),((R51*1)/70)*(VLOOKUP(K51,CA_ingestion!A$1:J$78,4,0)),0))))/11</f>
        <v>0</v>
      </c>
      <c r="AC51" s="5">
        <f t="shared" si="7"/>
        <v>0</v>
      </c>
      <c r="AD51" s="5">
        <f>((IF(AND((P51="CA"),(J51="Adult (&gt; 15 years)")),(AC51*(VLOOKUP(K51,CA_ingestion!A$1:J$78,10,0))),0)))</f>
        <v>0</v>
      </c>
      <c r="AE51" s="5">
        <f t="shared" si="8"/>
        <v>0</v>
      </c>
      <c r="AF51" s="5">
        <f t="shared" si="9"/>
        <v>0</v>
      </c>
    </row>
    <row r="52" spans="1:32" ht="15.5">
      <c r="A52" s="29"/>
      <c r="B52" s="29">
        <v>0</v>
      </c>
      <c r="C52" s="29" t="s">
        <v>369</v>
      </c>
      <c r="D52" s="29"/>
      <c r="E52" s="29"/>
      <c r="F52" s="26" t="str">
        <f>Summary!C$23</f>
        <v>Afghanistan</v>
      </c>
      <c r="G52" s="29"/>
      <c r="H52" s="29" t="s">
        <v>369</v>
      </c>
      <c r="I52" s="33">
        <f>VLOOKUP(H52,'List Data'!$A$100:$B$104,2,0)</f>
        <v>0</v>
      </c>
      <c r="J52" s="29" t="s">
        <v>213</v>
      </c>
      <c r="K52" s="29" t="s">
        <v>213</v>
      </c>
      <c r="L52" s="29">
        <v>0</v>
      </c>
      <c r="M52" s="37">
        <f>S52*Summary!$H$27</f>
        <v>0</v>
      </c>
      <c r="N52" s="37">
        <f>T52*Summary!$H$25</f>
        <v>0</v>
      </c>
      <c r="O52" s="34">
        <f>(VLOOKUP(C52,'List Data'!A$106:B$109,2,0))*B52</f>
        <v>0</v>
      </c>
      <c r="P52" s="26">
        <f>VLOOKUP(K52,'List Data'!A$2:C$94,3,0)</f>
        <v>0</v>
      </c>
      <c r="Q52" s="26" t="str">
        <f>VLOOKUP(K52,'List Data'!A$2:B$94,2,0)</f>
        <v>--------</v>
      </c>
      <c r="R52" s="26">
        <f t="shared" si="4"/>
        <v>0</v>
      </c>
      <c r="S52" s="26">
        <f t="shared" si="5"/>
        <v>0</v>
      </c>
      <c r="T52" s="26">
        <f t="shared" si="6"/>
        <v>0</v>
      </c>
      <c r="U52" s="26">
        <f>(IF(AND((P52="OP"),(J52="Child (0-7 years)")),VLOOKUP(R52,'OP Values'!$A$1:$Q$35,7),))*I52</f>
        <v>0</v>
      </c>
      <c r="V52" s="26">
        <f>(IF(P52="OP",VLOOKUP($R52,'OP Values'!$A$1:$Q$35,17),))*I52</f>
        <v>0</v>
      </c>
      <c r="W52" s="26">
        <f>(IF(AND((P52="Pb"),(J52="Child (0-7 years)")),(VLOOKUP(R52,Pb!$C$2:$AV$103,11)),0))*I52</f>
        <v>0</v>
      </c>
      <c r="X52" s="26">
        <f>(IF(AND((P52="Pb"),(J52="Child (0-7 years)")),(VLOOKUP(R52,Pb!$C$2:$AV$103,20)),0))*I52</f>
        <v>0</v>
      </c>
      <c r="Y52" s="26">
        <f>(IF(AND((P52="Pb"),(J52="Adult (&gt; 15 years)")),(VLOOKUP(R52,Pb!$C$2:$AV$103,46)),0))*I52</f>
        <v>0</v>
      </c>
      <c r="Z52" s="26">
        <f>(IF(AND((P52="Hg"),(J52="Child (0-7 years)")),(VLOOKUP(R52,'Hg Values'!$A$1:$M$30,3)),0))*I52</f>
        <v>0</v>
      </c>
      <c r="AA52" s="26">
        <f>(IF(AND((P52="Hg"),(J52="Child (0-7 years)")),(VLOOKUP(R52,'Hg Values'!$A$1:$M$30,13)),0))*I52</f>
        <v>0</v>
      </c>
      <c r="AB52" s="5">
        <f>(((IF(AND((P52="CA"),(J52="Adult (&gt; 15 years)")),((R52*1)/70)*(VLOOKUP(K52,CA_ingestion!A$1:J$78,4,0)),0))))/11</f>
        <v>0</v>
      </c>
      <c r="AC52" s="5">
        <f t="shared" si="7"/>
        <v>0</v>
      </c>
      <c r="AD52" s="5">
        <f>((IF(AND((P52="CA"),(J52="Adult (&gt; 15 years)")),(AC52*(VLOOKUP(K52,CA_ingestion!A$1:J$78,10,0))),0)))</f>
        <v>0</v>
      </c>
      <c r="AE52" s="5">
        <f t="shared" si="8"/>
        <v>0</v>
      </c>
      <c r="AF52" s="5">
        <f t="shared" si="9"/>
        <v>0</v>
      </c>
    </row>
    <row r="53" spans="1:32" ht="15.5">
      <c r="A53" s="29"/>
      <c r="B53" s="29">
        <v>0</v>
      </c>
      <c r="C53" s="29" t="s">
        <v>369</v>
      </c>
      <c r="D53" s="29"/>
      <c r="E53" s="29"/>
      <c r="F53" s="26" t="str">
        <f>Summary!C$23</f>
        <v>Afghanistan</v>
      </c>
      <c r="G53" s="29"/>
      <c r="H53" s="29" t="s">
        <v>369</v>
      </c>
      <c r="I53" s="33">
        <f>VLOOKUP(H53,'List Data'!$A$100:$B$104,2,0)</f>
        <v>0</v>
      </c>
      <c r="J53" s="29" t="s">
        <v>213</v>
      </c>
      <c r="K53" s="29" t="s">
        <v>213</v>
      </c>
      <c r="L53" s="29">
        <v>0</v>
      </c>
      <c r="M53" s="37">
        <f>S53*Summary!$H$27</f>
        <v>0</v>
      </c>
      <c r="N53" s="37">
        <f>T53*Summary!$H$25</f>
        <v>0</v>
      </c>
      <c r="O53" s="34">
        <f>(VLOOKUP(C53,'List Data'!A$106:B$109,2,0))*B53</f>
        <v>0</v>
      </c>
      <c r="P53" s="26">
        <f>VLOOKUP(K53,'List Data'!A$2:C$94,3,0)</f>
        <v>0</v>
      </c>
      <c r="Q53" s="26" t="str">
        <f>VLOOKUP(K53,'List Data'!A$2:B$94,2,0)</f>
        <v>--------</v>
      </c>
      <c r="R53" s="26">
        <f t="shared" si="4"/>
        <v>0</v>
      </c>
      <c r="S53" s="26">
        <f t="shared" si="5"/>
        <v>0</v>
      </c>
      <c r="T53" s="26">
        <f t="shared" si="6"/>
        <v>0</v>
      </c>
      <c r="U53" s="26">
        <f>(IF(AND((P53="OP"),(J53="Child (0-7 years)")),VLOOKUP(R53,'OP Values'!$A$1:$Q$35,7),))*I53</f>
        <v>0</v>
      </c>
      <c r="V53" s="26">
        <f>(IF(P53="OP",VLOOKUP($R53,'OP Values'!$A$1:$Q$35,17),))*I53</f>
        <v>0</v>
      </c>
      <c r="W53" s="26">
        <f>(IF(AND((P53="Pb"),(J53="Child (0-7 years)")),(VLOOKUP(R53,Pb!$C$2:$AV$103,11)),0))*I53</f>
        <v>0</v>
      </c>
      <c r="X53" s="26">
        <f>(IF(AND((P53="Pb"),(J53="Child (0-7 years)")),(VLOOKUP(R53,Pb!$C$2:$AV$103,20)),0))*I53</f>
        <v>0</v>
      </c>
      <c r="Y53" s="26">
        <f>(IF(AND((P53="Pb"),(J53="Adult (&gt; 15 years)")),(VLOOKUP(R53,Pb!$C$2:$AV$103,46)),0))*I53</f>
        <v>0</v>
      </c>
      <c r="Z53" s="26">
        <f>(IF(AND((P53="Hg"),(J53="Child (0-7 years)")),(VLOOKUP(R53,'Hg Values'!$A$1:$M$30,3)),0))*I53</f>
        <v>0</v>
      </c>
      <c r="AA53" s="26">
        <f>(IF(AND((P53="Hg"),(J53="Child (0-7 years)")),(VLOOKUP(R53,'Hg Values'!$A$1:$M$30,13)),0))*I53</f>
        <v>0</v>
      </c>
      <c r="AB53" s="5">
        <f>(((IF(AND((P53="CA"),(J53="Adult (&gt; 15 years)")),((R53*1)/70)*(VLOOKUP(K53,CA_ingestion!A$1:J$78,4,0)),0))))/11</f>
        <v>0</v>
      </c>
      <c r="AC53" s="5">
        <f t="shared" si="7"/>
        <v>0</v>
      </c>
      <c r="AD53" s="5">
        <f>((IF(AND((P53="CA"),(J53="Adult (&gt; 15 years)")),(AC53*(VLOOKUP(K53,CA_ingestion!A$1:J$78,10,0))),0)))</f>
        <v>0</v>
      </c>
      <c r="AE53" s="5">
        <f t="shared" si="8"/>
        <v>0</v>
      </c>
      <c r="AF53" s="5">
        <f t="shared" si="9"/>
        <v>0</v>
      </c>
    </row>
    <row r="54" spans="1:32" ht="15.5">
      <c r="A54" s="29"/>
      <c r="B54" s="29">
        <v>0</v>
      </c>
      <c r="C54" s="29" t="s">
        <v>369</v>
      </c>
      <c r="D54" s="29"/>
      <c r="E54" s="29"/>
      <c r="F54" s="26" t="str">
        <f>Summary!C$23</f>
        <v>Afghanistan</v>
      </c>
      <c r="G54" s="29"/>
      <c r="H54" s="29" t="s">
        <v>369</v>
      </c>
      <c r="I54" s="33">
        <f>VLOOKUP(H54,'List Data'!$A$100:$B$104,2,0)</f>
        <v>0</v>
      </c>
      <c r="J54" s="29" t="s">
        <v>213</v>
      </c>
      <c r="K54" s="29" t="s">
        <v>213</v>
      </c>
      <c r="L54" s="29">
        <v>0</v>
      </c>
      <c r="M54" s="37">
        <f>S54*Summary!$H$27</f>
        <v>0</v>
      </c>
      <c r="N54" s="37">
        <f>T54*Summary!$H$25</f>
        <v>0</v>
      </c>
      <c r="O54" s="34">
        <f>(VLOOKUP(C54,'List Data'!A$106:B$109,2,0))*B54</f>
        <v>0</v>
      </c>
      <c r="P54" s="26">
        <f>VLOOKUP(K54,'List Data'!A$2:C$94,3,0)</f>
        <v>0</v>
      </c>
      <c r="Q54" s="26" t="str">
        <f>VLOOKUP(K54,'List Data'!A$2:B$94,2,0)</f>
        <v>--------</v>
      </c>
      <c r="R54" s="26">
        <f t="shared" si="4"/>
        <v>0</v>
      </c>
      <c r="S54" s="26">
        <f t="shared" si="5"/>
        <v>0</v>
      </c>
      <c r="T54" s="26">
        <f t="shared" si="6"/>
        <v>0</v>
      </c>
      <c r="U54" s="26">
        <f>(IF(AND((P54="OP"),(J54="Child (0-7 years)")),VLOOKUP(R54,'OP Values'!$A$1:$Q$35,7),))*I54</f>
        <v>0</v>
      </c>
      <c r="V54" s="26">
        <f>(IF(P54="OP",VLOOKUP($R54,'OP Values'!$A$1:$Q$35,17),))*I54</f>
        <v>0</v>
      </c>
      <c r="W54" s="26">
        <f>(IF(AND((P54="Pb"),(J54="Child (0-7 years)")),(VLOOKUP(R54,Pb!$C$2:$AV$103,11)),0))*I54</f>
        <v>0</v>
      </c>
      <c r="X54" s="26">
        <f>(IF(AND((P54="Pb"),(J54="Child (0-7 years)")),(VLOOKUP(R54,Pb!$C$2:$AV$103,20)),0))*I54</f>
        <v>0</v>
      </c>
      <c r="Y54" s="26">
        <f>(IF(AND((P54="Pb"),(J54="Adult (&gt; 15 years)")),(VLOOKUP(R54,Pb!$C$2:$AV$103,46)),0))*I54</f>
        <v>0</v>
      </c>
      <c r="Z54" s="26">
        <f>(IF(AND((P54="Hg"),(J54="Child (0-7 years)")),(VLOOKUP(R54,'Hg Values'!$A$1:$M$30,3)),0))*I54</f>
        <v>0</v>
      </c>
      <c r="AA54" s="26">
        <f>(IF(AND((P54="Hg"),(J54="Child (0-7 years)")),(VLOOKUP(R54,'Hg Values'!$A$1:$M$30,13)),0))*I54</f>
        <v>0</v>
      </c>
      <c r="AB54" s="5">
        <f>(((IF(AND((P54="CA"),(J54="Adult (&gt; 15 years)")),((R54*1)/70)*(VLOOKUP(K54,CA_ingestion!A$1:J$78,4,0)),0))))/11</f>
        <v>0</v>
      </c>
      <c r="AC54" s="5">
        <f t="shared" si="7"/>
        <v>0</v>
      </c>
      <c r="AD54" s="5">
        <f>((IF(AND((P54="CA"),(J54="Adult (&gt; 15 years)")),(AC54*(VLOOKUP(K54,CA_ingestion!A$1:J$78,10,0))),0)))</f>
        <v>0</v>
      </c>
      <c r="AE54" s="5">
        <f t="shared" si="8"/>
        <v>0</v>
      </c>
      <c r="AF54" s="5">
        <f t="shared" si="9"/>
        <v>0</v>
      </c>
    </row>
    <row r="55" spans="1:32" ht="15.5">
      <c r="A55" s="29"/>
      <c r="B55" s="29">
        <v>0</v>
      </c>
      <c r="C55" s="29" t="s">
        <v>369</v>
      </c>
      <c r="D55" s="29"/>
      <c r="E55" s="29"/>
      <c r="F55" s="26" t="str">
        <f>Summary!C$23</f>
        <v>Afghanistan</v>
      </c>
      <c r="G55" s="29"/>
      <c r="H55" s="29" t="s">
        <v>369</v>
      </c>
      <c r="I55" s="33">
        <f>VLOOKUP(H55,'List Data'!$A$100:$B$104,2,0)</f>
        <v>0</v>
      </c>
      <c r="J55" s="29" t="s">
        <v>213</v>
      </c>
      <c r="K55" s="29" t="s">
        <v>213</v>
      </c>
      <c r="L55" s="29">
        <v>0</v>
      </c>
      <c r="M55" s="37">
        <f>S55*Summary!$H$27</f>
        <v>0</v>
      </c>
      <c r="N55" s="37">
        <f>T55*Summary!$H$25</f>
        <v>0</v>
      </c>
      <c r="O55" s="34">
        <f>(VLOOKUP(C55,'List Data'!A$106:B$109,2,0))*B55</f>
        <v>0</v>
      </c>
      <c r="P55" s="26">
        <f>VLOOKUP(K55,'List Data'!A$2:C$94,3,0)</f>
        <v>0</v>
      </c>
      <c r="Q55" s="26" t="str">
        <f>VLOOKUP(K55,'List Data'!A$2:B$94,2,0)</f>
        <v>--------</v>
      </c>
      <c r="R55" s="26">
        <f t="shared" si="4"/>
        <v>0</v>
      </c>
      <c r="S55" s="26">
        <f t="shared" si="5"/>
        <v>0</v>
      </c>
      <c r="T55" s="26">
        <f t="shared" si="6"/>
        <v>0</v>
      </c>
      <c r="U55" s="26">
        <f>(IF(AND((P55="OP"),(J55="Child (0-7 years)")),VLOOKUP(R55,'OP Values'!$A$1:$Q$35,7),))*I55</f>
        <v>0</v>
      </c>
      <c r="V55" s="26">
        <f>(IF(P55="OP",VLOOKUP($R55,'OP Values'!$A$1:$Q$35,17),))*I55</f>
        <v>0</v>
      </c>
      <c r="W55" s="26">
        <f>(IF(AND((P55="Pb"),(J55="Child (0-7 years)")),(VLOOKUP(R55,Pb!$C$2:$AV$103,11)),0))*I55</f>
        <v>0</v>
      </c>
      <c r="X55" s="26">
        <f>(IF(AND((P55="Pb"),(J55="Child (0-7 years)")),(VLOOKUP(R55,Pb!$C$2:$AV$103,20)),0))*I55</f>
        <v>0</v>
      </c>
      <c r="Y55" s="26">
        <f>(IF(AND((P55="Pb"),(J55="Adult (&gt; 15 years)")),(VLOOKUP(R55,Pb!$C$2:$AV$103,46)),0))*I55</f>
        <v>0</v>
      </c>
      <c r="Z55" s="26">
        <f>(IF(AND((P55="Hg"),(J55="Child (0-7 years)")),(VLOOKUP(R55,'Hg Values'!$A$1:$M$30,3)),0))*I55</f>
        <v>0</v>
      </c>
      <c r="AA55" s="26">
        <f>(IF(AND((P55="Hg"),(J55="Child (0-7 years)")),(VLOOKUP(R55,'Hg Values'!$A$1:$M$30,13)),0))*I55</f>
        <v>0</v>
      </c>
      <c r="AB55" s="5">
        <f>(((IF(AND((P55="CA"),(J55="Adult (&gt; 15 years)")),((R55*1)/70)*(VLOOKUP(K55,CA_ingestion!A$1:J$78,4,0)),0))))/11</f>
        <v>0</v>
      </c>
      <c r="AC55" s="5">
        <f t="shared" si="7"/>
        <v>0</v>
      </c>
      <c r="AD55" s="5">
        <f>((IF(AND((P55="CA"),(J55="Adult (&gt; 15 years)")),(AC55*(VLOOKUP(K55,CA_ingestion!A$1:J$78,10,0))),0)))</f>
        <v>0</v>
      </c>
      <c r="AE55" s="5">
        <f t="shared" si="8"/>
        <v>0</v>
      </c>
      <c r="AF55" s="5">
        <f t="shared" si="9"/>
        <v>0</v>
      </c>
    </row>
    <row r="56" spans="1:32" ht="15.5">
      <c r="A56" s="29"/>
      <c r="B56" s="29">
        <v>0</v>
      </c>
      <c r="C56" s="29" t="s">
        <v>369</v>
      </c>
      <c r="D56" s="29"/>
      <c r="E56" s="29"/>
      <c r="F56" s="26" t="str">
        <f>Summary!C$23</f>
        <v>Afghanistan</v>
      </c>
      <c r="G56" s="29"/>
      <c r="H56" s="29" t="s">
        <v>369</v>
      </c>
      <c r="I56" s="33">
        <f>VLOOKUP(H56,'List Data'!$A$100:$B$104,2,0)</f>
        <v>0</v>
      </c>
      <c r="J56" s="29" t="s">
        <v>213</v>
      </c>
      <c r="K56" s="29" t="s">
        <v>213</v>
      </c>
      <c r="L56" s="29">
        <v>0</v>
      </c>
      <c r="M56" s="37">
        <f>S56*Summary!$H$27</f>
        <v>0</v>
      </c>
      <c r="N56" s="37">
        <f>T56*Summary!$H$25</f>
        <v>0</v>
      </c>
      <c r="O56" s="34">
        <f>(VLOOKUP(C56,'List Data'!A$106:B$109,2,0))*B56</f>
        <v>0</v>
      </c>
      <c r="P56" s="26">
        <f>VLOOKUP(K56,'List Data'!A$2:C$94,3,0)</f>
        <v>0</v>
      </c>
      <c r="Q56" s="26" t="str">
        <f>VLOOKUP(K56,'List Data'!A$2:B$94,2,0)</f>
        <v>--------</v>
      </c>
      <c r="R56" s="26">
        <f t="shared" si="4"/>
        <v>0</v>
      </c>
      <c r="S56" s="26">
        <f t="shared" si="5"/>
        <v>0</v>
      </c>
      <c r="T56" s="26">
        <f t="shared" si="6"/>
        <v>0</v>
      </c>
      <c r="U56" s="26">
        <f>(IF(AND((P56="OP"),(J56="Child (0-7 years)")),VLOOKUP(R56,'OP Values'!$A$1:$Q$35,7),))*I56</f>
        <v>0</v>
      </c>
      <c r="V56" s="26">
        <f>(IF(P56="OP",VLOOKUP($R56,'OP Values'!$A$1:$Q$35,17),))*I56</f>
        <v>0</v>
      </c>
      <c r="W56" s="26">
        <f>(IF(AND((P56="Pb"),(J56="Child (0-7 years)")),(VLOOKUP(R56,Pb!$C$2:$AV$103,11)),0))*I56</f>
        <v>0</v>
      </c>
      <c r="X56" s="26">
        <f>(IF(AND((P56="Pb"),(J56="Child (0-7 years)")),(VLOOKUP(R56,Pb!$C$2:$AV$103,20)),0))*I56</f>
        <v>0</v>
      </c>
      <c r="Y56" s="26">
        <f>(IF(AND((P56="Pb"),(J56="Adult (&gt; 15 years)")),(VLOOKUP(R56,Pb!$C$2:$AV$103,46)),0))*I56</f>
        <v>0</v>
      </c>
      <c r="Z56" s="26">
        <f>(IF(AND((P56="Hg"),(J56="Child (0-7 years)")),(VLOOKUP(R56,'Hg Values'!$A$1:$M$30,3)),0))*I56</f>
        <v>0</v>
      </c>
      <c r="AA56" s="26">
        <f>(IF(AND((P56="Hg"),(J56="Child (0-7 years)")),(VLOOKUP(R56,'Hg Values'!$A$1:$M$30,13)),0))*I56</f>
        <v>0</v>
      </c>
      <c r="AB56" s="5">
        <f>(((IF(AND((P56="CA"),(J56="Adult (&gt; 15 years)")),((R56*1)/70)*(VLOOKUP(K56,CA_ingestion!A$1:J$78,4,0)),0))))/11</f>
        <v>0</v>
      </c>
      <c r="AC56" s="5">
        <f t="shared" si="7"/>
        <v>0</v>
      </c>
      <c r="AD56" s="5">
        <f>((IF(AND((P56="CA"),(J56="Adult (&gt; 15 years)")),(AC56*(VLOOKUP(K56,CA_ingestion!A$1:J$78,10,0))),0)))</f>
        <v>0</v>
      </c>
      <c r="AE56" s="5">
        <f t="shared" si="8"/>
        <v>0</v>
      </c>
      <c r="AF56" s="5">
        <f t="shared" si="9"/>
        <v>0</v>
      </c>
    </row>
    <row r="57" spans="1:32" ht="15.5">
      <c r="A57" s="29"/>
      <c r="B57" s="29">
        <v>0</v>
      </c>
      <c r="C57" s="29" t="s">
        <v>369</v>
      </c>
      <c r="D57" s="29"/>
      <c r="E57" s="29"/>
      <c r="F57" s="26" t="str">
        <f>Summary!C$23</f>
        <v>Afghanistan</v>
      </c>
      <c r="G57" s="29"/>
      <c r="H57" s="29" t="s">
        <v>369</v>
      </c>
      <c r="I57" s="33">
        <f>VLOOKUP(H57,'List Data'!$A$100:$B$104,2,0)</f>
        <v>0</v>
      </c>
      <c r="J57" s="29" t="s">
        <v>213</v>
      </c>
      <c r="K57" s="29" t="s">
        <v>213</v>
      </c>
      <c r="L57" s="29">
        <v>0</v>
      </c>
      <c r="M57" s="37">
        <f>S57*Summary!$H$27</f>
        <v>0</v>
      </c>
      <c r="N57" s="37">
        <f>T57*Summary!$H$25</f>
        <v>0</v>
      </c>
      <c r="O57" s="34">
        <f>(VLOOKUP(C57,'List Data'!A$106:B$109,2,0))*B57</f>
        <v>0</v>
      </c>
      <c r="P57" s="26">
        <f>VLOOKUP(K57,'List Data'!A$2:C$94,3,0)</f>
        <v>0</v>
      </c>
      <c r="Q57" s="26" t="str">
        <f>VLOOKUP(K57,'List Data'!A$2:B$94,2,0)</f>
        <v>--------</v>
      </c>
      <c r="R57" s="26">
        <f t="shared" si="4"/>
        <v>0</v>
      </c>
      <c r="S57" s="26">
        <f t="shared" si="5"/>
        <v>0</v>
      </c>
      <c r="T57" s="26">
        <f t="shared" si="6"/>
        <v>0</v>
      </c>
      <c r="U57" s="26">
        <f>(IF(AND((P57="OP"),(J57="Child (0-7 years)")),VLOOKUP(R57,'OP Values'!$A$1:$Q$35,7),))*I57</f>
        <v>0</v>
      </c>
      <c r="V57" s="26">
        <f>(IF(P57="OP",VLOOKUP($R57,'OP Values'!$A$1:$Q$35,17),))*I57</f>
        <v>0</v>
      </c>
      <c r="W57" s="26">
        <f>(IF(AND((P57="Pb"),(J57="Child (0-7 years)")),(VLOOKUP(R57,Pb!$C$2:$AV$103,11)),0))*I57</f>
        <v>0</v>
      </c>
      <c r="X57" s="26">
        <f>(IF(AND((P57="Pb"),(J57="Child (0-7 years)")),(VLOOKUP(R57,Pb!$C$2:$AV$103,20)),0))*I57</f>
        <v>0</v>
      </c>
      <c r="Y57" s="26">
        <f>(IF(AND((P57="Pb"),(J57="Adult (&gt; 15 years)")),(VLOOKUP(R57,Pb!$C$2:$AV$103,46)),0))*I57</f>
        <v>0</v>
      </c>
      <c r="Z57" s="26">
        <f>(IF(AND((P57="Hg"),(J57="Child (0-7 years)")),(VLOOKUP(R57,'Hg Values'!$A$1:$M$30,3)),0))*I57</f>
        <v>0</v>
      </c>
      <c r="AA57" s="26">
        <f>(IF(AND((P57="Hg"),(J57="Child (0-7 years)")),(VLOOKUP(R57,'Hg Values'!$A$1:$M$30,13)),0))*I57</f>
        <v>0</v>
      </c>
      <c r="AB57" s="5">
        <f>(((IF(AND((P57="CA"),(J57="Adult (&gt; 15 years)")),((R57*1)/70)*(VLOOKUP(K57,CA_ingestion!A$1:J$78,4,0)),0))))/11</f>
        <v>0</v>
      </c>
      <c r="AC57" s="5">
        <f t="shared" si="7"/>
        <v>0</v>
      </c>
      <c r="AD57" s="5">
        <f>((IF(AND((P57="CA"),(J57="Adult (&gt; 15 years)")),(AC57*(VLOOKUP(K57,CA_ingestion!A$1:J$78,10,0))),0)))</f>
        <v>0</v>
      </c>
      <c r="AE57" s="5">
        <f t="shared" si="8"/>
        <v>0</v>
      </c>
      <c r="AF57" s="5">
        <f t="shared" si="9"/>
        <v>0</v>
      </c>
    </row>
    <row r="58" spans="1:32" ht="15.5">
      <c r="A58" s="29"/>
      <c r="B58" s="29">
        <v>0</v>
      </c>
      <c r="C58" s="29" t="s">
        <v>369</v>
      </c>
      <c r="D58" s="29"/>
      <c r="E58" s="29"/>
      <c r="F58" s="26" t="str">
        <f>Summary!C$23</f>
        <v>Afghanistan</v>
      </c>
      <c r="G58" s="29"/>
      <c r="H58" s="29" t="s">
        <v>369</v>
      </c>
      <c r="I58" s="33">
        <f>VLOOKUP(H58,'List Data'!$A$100:$B$104,2,0)</f>
        <v>0</v>
      </c>
      <c r="J58" s="29" t="s">
        <v>213</v>
      </c>
      <c r="K58" s="29" t="s">
        <v>213</v>
      </c>
      <c r="L58" s="29">
        <v>0</v>
      </c>
      <c r="M58" s="37">
        <f>S58*Summary!$H$27</f>
        <v>0</v>
      </c>
      <c r="N58" s="37">
        <f>T58*Summary!$H$25</f>
        <v>0</v>
      </c>
      <c r="O58" s="34">
        <f>(VLOOKUP(C58,'List Data'!A$106:B$109,2,0))*B58</f>
        <v>0</v>
      </c>
      <c r="P58" s="26">
        <f>VLOOKUP(K58,'List Data'!A$2:C$94,3,0)</f>
        <v>0</v>
      </c>
      <c r="Q58" s="26" t="str">
        <f>VLOOKUP(K58,'List Data'!A$2:B$94,2,0)</f>
        <v>--------</v>
      </c>
      <c r="R58" s="26">
        <f t="shared" si="4"/>
        <v>0</v>
      </c>
      <c r="S58" s="26">
        <f t="shared" si="5"/>
        <v>0</v>
      </c>
      <c r="T58" s="26">
        <f t="shared" si="6"/>
        <v>0</v>
      </c>
      <c r="U58" s="26">
        <f>(IF(AND((P58="OP"),(J58="Child (0-7 years)")),VLOOKUP(R58,'OP Values'!$A$1:$Q$35,7),))*I58</f>
        <v>0</v>
      </c>
      <c r="V58" s="26">
        <f>(IF(P58="OP",VLOOKUP($R58,'OP Values'!$A$1:$Q$35,17),))*I58</f>
        <v>0</v>
      </c>
      <c r="W58" s="26">
        <f>(IF(AND((P58="Pb"),(J58="Child (0-7 years)")),(VLOOKUP(R58,Pb!$C$2:$AV$103,11)),0))*I58</f>
        <v>0</v>
      </c>
      <c r="X58" s="26">
        <f>(IF(AND((P58="Pb"),(J58="Child (0-7 years)")),(VLOOKUP(R58,Pb!$C$2:$AV$103,20)),0))*I58</f>
        <v>0</v>
      </c>
      <c r="Y58" s="26">
        <f>(IF(AND((P58="Pb"),(J58="Adult (&gt; 15 years)")),(VLOOKUP(R58,Pb!$C$2:$AV$103,46)),0))*I58</f>
        <v>0</v>
      </c>
      <c r="Z58" s="26">
        <f>(IF(AND((P58="Hg"),(J58="Child (0-7 years)")),(VLOOKUP(R58,'Hg Values'!$A$1:$M$30,3)),0))*I58</f>
        <v>0</v>
      </c>
      <c r="AA58" s="26">
        <f>(IF(AND((P58="Hg"),(J58="Child (0-7 years)")),(VLOOKUP(R58,'Hg Values'!$A$1:$M$30,13)),0))*I58</f>
        <v>0</v>
      </c>
      <c r="AB58" s="5">
        <f>(((IF(AND((P58="CA"),(J58="Adult (&gt; 15 years)")),((R58*1)/70)*(VLOOKUP(K58,CA_ingestion!A$1:J$78,4,0)),0))))/11</f>
        <v>0</v>
      </c>
      <c r="AC58" s="5">
        <f t="shared" si="7"/>
        <v>0</v>
      </c>
      <c r="AD58" s="5">
        <f>((IF(AND((P58="CA"),(J58="Adult (&gt; 15 years)")),(AC58*(VLOOKUP(K58,CA_ingestion!A$1:J$78,10,0))),0)))</f>
        <v>0</v>
      </c>
      <c r="AE58" s="5">
        <f t="shared" si="8"/>
        <v>0</v>
      </c>
      <c r="AF58" s="5">
        <f t="shared" si="9"/>
        <v>0</v>
      </c>
    </row>
    <row r="59" spans="1:32" ht="15.5">
      <c r="A59" s="29"/>
      <c r="B59" s="29">
        <v>0</v>
      </c>
      <c r="C59" s="29" t="s">
        <v>369</v>
      </c>
      <c r="D59" s="29"/>
      <c r="E59" s="29"/>
      <c r="F59" s="26" t="str">
        <f>Summary!C$23</f>
        <v>Afghanistan</v>
      </c>
      <c r="G59" s="29"/>
      <c r="H59" s="29" t="s">
        <v>369</v>
      </c>
      <c r="I59" s="33">
        <f>VLOOKUP(H59,'List Data'!$A$100:$B$104,2,0)</f>
        <v>0</v>
      </c>
      <c r="J59" s="29" t="s">
        <v>213</v>
      </c>
      <c r="K59" s="29" t="s">
        <v>213</v>
      </c>
      <c r="L59" s="29">
        <v>0</v>
      </c>
      <c r="M59" s="37">
        <f>S59*Summary!$H$27</f>
        <v>0</v>
      </c>
      <c r="N59" s="37">
        <f>T59*Summary!$H$25</f>
        <v>0</v>
      </c>
      <c r="O59" s="34">
        <f>(VLOOKUP(C59,'List Data'!A$106:B$109,2,0))*B59</f>
        <v>0</v>
      </c>
      <c r="P59" s="26">
        <f>VLOOKUP(K59,'List Data'!A$2:C$94,3,0)</f>
        <v>0</v>
      </c>
      <c r="Q59" s="26" t="str">
        <f>VLOOKUP(K59,'List Data'!A$2:B$94,2,0)</f>
        <v>--------</v>
      </c>
      <c r="R59" s="26">
        <f t="shared" si="4"/>
        <v>0</v>
      </c>
      <c r="S59" s="26">
        <f t="shared" si="5"/>
        <v>0</v>
      </c>
      <c r="T59" s="26">
        <f t="shared" si="6"/>
        <v>0</v>
      </c>
      <c r="U59" s="26">
        <f>(IF(AND((P59="OP"),(J59="Child (0-7 years)")),VLOOKUP(R59,'OP Values'!$A$1:$Q$35,7),))*I59</f>
        <v>0</v>
      </c>
      <c r="V59" s="26">
        <f>(IF(P59="OP",VLOOKUP($R59,'OP Values'!$A$1:$Q$35,17),))*I59</f>
        <v>0</v>
      </c>
      <c r="W59" s="26">
        <f>(IF(AND((P59="Pb"),(J59="Child (0-7 years)")),(VLOOKUP(R59,Pb!$C$2:$AV$103,11)),0))*I59</f>
        <v>0</v>
      </c>
      <c r="X59" s="26">
        <f>(IF(AND((P59="Pb"),(J59="Child (0-7 years)")),(VLOOKUP(R59,Pb!$C$2:$AV$103,20)),0))*I59</f>
        <v>0</v>
      </c>
      <c r="Y59" s="26">
        <f>(IF(AND((P59="Pb"),(J59="Adult (&gt; 15 years)")),(VLOOKUP(R59,Pb!$C$2:$AV$103,46)),0))*I59</f>
        <v>0</v>
      </c>
      <c r="Z59" s="26">
        <f>(IF(AND((P59="Hg"),(J59="Child (0-7 years)")),(VLOOKUP(R59,'Hg Values'!$A$1:$M$30,3)),0))*I59</f>
        <v>0</v>
      </c>
      <c r="AA59" s="26">
        <f>(IF(AND((P59="Hg"),(J59="Child (0-7 years)")),(VLOOKUP(R59,'Hg Values'!$A$1:$M$30,13)),0))*I59</f>
        <v>0</v>
      </c>
      <c r="AB59" s="5">
        <f>(((IF(AND((P59="CA"),(J59="Adult (&gt; 15 years)")),((R59*1)/70)*(VLOOKUP(K59,CA_ingestion!A$1:J$78,4,0)),0))))/11</f>
        <v>0</v>
      </c>
      <c r="AC59" s="5">
        <f t="shared" si="7"/>
        <v>0</v>
      </c>
      <c r="AD59" s="5">
        <f>((IF(AND((P59="CA"),(J59="Adult (&gt; 15 years)")),(AC59*(VLOOKUP(K59,CA_ingestion!A$1:J$78,10,0))),0)))</f>
        <v>0</v>
      </c>
      <c r="AE59" s="5">
        <f t="shared" si="8"/>
        <v>0</v>
      </c>
      <c r="AF59" s="5">
        <f t="shared" si="9"/>
        <v>0</v>
      </c>
    </row>
    <row r="60" spans="1:32" ht="15.5">
      <c r="A60" s="29"/>
      <c r="B60" s="29">
        <v>0</v>
      </c>
      <c r="C60" s="29" t="s">
        <v>369</v>
      </c>
      <c r="D60" s="29"/>
      <c r="E60" s="29"/>
      <c r="F60" s="26" t="str">
        <f>Summary!C$23</f>
        <v>Afghanistan</v>
      </c>
      <c r="G60" s="29"/>
      <c r="H60" s="29" t="s">
        <v>369</v>
      </c>
      <c r="I60" s="33">
        <f>VLOOKUP(H60,'List Data'!$A$100:$B$104,2,0)</f>
        <v>0</v>
      </c>
      <c r="J60" s="29" t="s">
        <v>213</v>
      </c>
      <c r="K60" s="29" t="s">
        <v>213</v>
      </c>
      <c r="L60" s="29">
        <v>0</v>
      </c>
      <c r="M60" s="37">
        <f>S60*Summary!$H$27</f>
        <v>0</v>
      </c>
      <c r="N60" s="37">
        <f>T60*Summary!$H$25</f>
        <v>0</v>
      </c>
      <c r="O60" s="34">
        <f>(VLOOKUP(C60,'List Data'!A$106:B$109,2,0))*B60</f>
        <v>0</v>
      </c>
      <c r="P60" s="26">
        <f>VLOOKUP(K60,'List Data'!A$2:C$94,3,0)</f>
        <v>0</v>
      </c>
      <c r="Q60" s="26" t="str">
        <f>VLOOKUP(K60,'List Data'!A$2:B$94,2,0)</f>
        <v>--------</v>
      </c>
      <c r="R60" s="26">
        <f t="shared" si="4"/>
        <v>0</v>
      </c>
      <c r="S60" s="26">
        <f t="shared" si="5"/>
        <v>0</v>
      </c>
      <c r="T60" s="26">
        <f t="shared" si="6"/>
        <v>0</v>
      </c>
      <c r="U60" s="26">
        <f>(IF(AND((P60="OP"),(J60="Child (0-7 years)")),VLOOKUP(R60,'OP Values'!$A$1:$Q$35,7),))*I60</f>
        <v>0</v>
      </c>
      <c r="V60" s="26">
        <f>(IF(P60="OP",VLOOKUP($R60,'OP Values'!$A$1:$Q$35,17),))*I60</f>
        <v>0</v>
      </c>
      <c r="W60" s="26">
        <f>(IF(AND((P60="Pb"),(J60="Child (0-7 years)")),(VLOOKUP(R60,Pb!$C$2:$AV$103,11)),0))*I60</f>
        <v>0</v>
      </c>
      <c r="X60" s="26">
        <f>(IF(AND((P60="Pb"),(J60="Child (0-7 years)")),(VLOOKUP(R60,Pb!$C$2:$AV$103,20)),0))*I60</f>
        <v>0</v>
      </c>
      <c r="Y60" s="26">
        <f>(IF(AND((P60="Pb"),(J60="Adult (&gt; 15 years)")),(VLOOKUP(R60,Pb!$C$2:$AV$103,46)),0))*I60</f>
        <v>0</v>
      </c>
      <c r="Z60" s="26">
        <f>(IF(AND((P60="Hg"),(J60="Child (0-7 years)")),(VLOOKUP(R60,'Hg Values'!$A$1:$M$30,3)),0))*I60</f>
        <v>0</v>
      </c>
      <c r="AA60" s="26">
        <f>(IF(AND((P60="Hg"),(J60="Child (0-7 years)")),(VLOOKUP(R60,'Hg Values'!$A$1:$M$30,13)),0))*I60</f>
        <v>0</v>
      </c>
      <c r="AB60" s="5">
        <f>(((IF(AND((P60="CA"),(J60="Adult (&gt; 15 years)")),((R60*1)/70)*(VLOOKUP(K60,CA_ingestion!A$1:J$78,4,0)),0))))/11</f>
        <v>0</v>
      </c>
      <c r="AC60" s="5">
        <f t="shared" si="7"/>
        <v>0</v>
      </c>
      <c r="AD60" s="5">
        <f>((IF(AND((P60="CA"),(J60="Adult (&gt; 15 years)")),(AC60*(VLOOKUP(K60,CA_ingestion!A$1:J$78,10,0))),0)))</f>
        <v>0</v>
      </c>
      <c r="AE60" s="5">
        <f t="shared" si="8"/>
        <v>0</v>
      </c>
      <c r="AF60" s="5">
        <f t="shared" si="9"/>
        <v>0</v>
      </c>
    </row>
    <row r="61" spans="1:32" ht="15.5">
      <c r="A61" s="29"/>
      <c r="B61" s="29">
        <v>0</v>
      </c>
      <c r="C61" s="29" t="s">
        <v>369</v>
      </c>
      <c r="D61" s="29"/>
      <c r="E61" s="29"/>
      <c r="F61" s="26" t="str">
        <f>Summary!C$23</f>
        <v>Afghanistan</v>
      </c>
      <c r="G61" s="29"/>
      <c r="H61" s="29" t="s">
        <v>369</v>
      </c>
      <c r="I61" s="33">
        <f>VLOOKUP(H61,'List Data'!$A$100:$B$104,2,0)</f>
        <v>0</v>
      </c>
      <c r="J61" s="29" t="s">
        <v>213</v>
      </c>
      <c r="K61" s="29" t="s">
        <v>213</v>
      </c>
      <c r="L61" s="29">
        <v>0</v>
      </c>
      <c r="M61" s="37">
        <f>S61*Summary!$H$27</f>
        <v>0</v>
      </c>
      <c r="N61" s="37">
        <f>T61*Summary!$H$25</f>
        <v>0</v>
      </c>
      <c r="O61" s="34">
        <f>(VLOOKUP(C61,'List Data'!A$106:B$109,2,0))*B61</f>
        <v>0</v>
      </c>
      <c r="P61" s="26">
        <f>VLOOKUP(K61,'List Data'!A$2:C$94,3,0)</f>
        <v>0</v>
      </c>
      <c r="Q61" s="26" t="str">
        <f>VLOOKUP(K61,'List Data'!A$2:B$94,2,0)</f>
        <v>--------</v>
      </c>
      <c r="R61" s="26">
        <f t="shared" si="4"/>
        <v>0</v>
      </c>
      <c r="S61" s="26">
        <f t="shared" si="5"/>
        <v>0</v>
      </c>
      <c r="T61" s="26">
        <f t="shared" si="6"/>
        <v>0</v>
      </c>
      <c r="U61" s="26">
        <f>(IF(AND((P61="OP"),(J61="Child (0-7 years)")),VLOOKUP(R61,'OP Values'!$A$1:$Q$35,7),))*I61</f>
        <v>0</v>
      </c>
      <c r="V61" s="26">
        <f>(IF(P61="OP",VLOOKUP($R61,'OP Values'!$A$1:$Q$35,17),))*I61</f>
        <v>0</v>
      </c>
      <c r="W61" s="26">
        <f>(IF(AND((P61="Pb"),(J61="Child (0-7 years)")),(VLOOKUP(R61,Pb!$C$2:$AV$103,11)),0))*I61</f>
        <v>0</v>
      </c>
      <c r="X61" s="26">
        <f>(IF(AND((P61="Pb"),(J61="Child (0-7 years)")),(VLOOKUP(R61,Pb!$C$2:$AV$103,20)),0))*I61</f>
        <v>0</v>
      </c>
      <c r="Y61" s="26">
        <f>(IF(AND((P61="Pb"),(J61="Adult (&gt; 15 years)")),(VLOOKUP(R61,Pb!$C$2:$AV$103,46)),0))*I61</f>
        <v>0</v>
      </c>
      <c r="Z61" s="26">
        <f>(IF(AND((P61="Hg"),(J61="Child (0-7 years)")),(VLOOKUP(R61,'Hg Values'!$A$1:$M$30,3)),0))*I61</f>
        <v>0</v>
      </c>
      <c r="AA61" s="26">
        <f>(IF(AND((P61="Hg"),(J61="Child (0-7 years)")),(VLOOKUP(R61,'Hg Values'!$A$1:$M$30,13)),0))*I61</f>
        <v>0</v>
      </c>
      <c r="AB61" s="5">
        <f>(((IF(AND((P61="CA"),(J61="Adult (&gt; 15 years)")),((R61*1)/70)*(VLOOKUP(K61,CA_ingestion!A$1:J$78,4,0)),0))))/11</f>
        <v>0</v>
      </c>
      <c r="AC61" s="5">
        <f t="shared" si="7"/>
        <v>0</v>
      </c>
      <c r="AD61" s="5">
        <f>((IF(AND((P61="CA"),(J61="Adult (&gt; 15 years)")),(AC61*(VLOOKUP(K61,CA_ingestion!A$1:J$78,10,0))),0)))</f>
        <v>0</v>
      </c>
      <c r="AE61" s="5">
        <f t="shared" si="8"/>
        <v>0</v>
      </c>
      <c r="AF61" s="5">
        <f t="shared" si="9"/>
        <v>0</v>
      </c>
    </row>
    <row r="62" spans="1:32" ht="15.5">
      <c r="A62" s="29"/>
      <c r="B62" s="29">
        <v>0</v>
      </c>
      <c r="C62" s="29" t="s">
        <v>369</v>
      </c>
      <c r="D62" s="29"/>
      <c r="E62" s="29"/>
      <c r="F62" s="26" t="str">
        <f>Summary!C$23</f>
        <v>Afghanistan</v>
      </c>
      <c r="G62" s="29"/>
      <c r="H62" s="29" t="s">
        <v>369</v>
      </c>
      <c r="I62" s="33">
        <f>VLOOKUP(H62,'List Data'!$A$100:$B$104,2,0)</f>
        <v>0</v>
      </c>
      <c r="J62" s="29" t="s">
        <v>213</v>
      </c>
      <c r="K62" s="29" t="s">
        <v>213</v>
      </c>
      <c r="L62" s="29">
        <v>0</v>
      </c>
      <c r="M62" s="37">
        <f>S62*Summary!$H$27</f>
        <v>0</v>
      </c>
      <c r="N62" s="37">
        <f>T62*Summary!$H$25</f>
        <v>0</v>
      </c>
      <c r="O62" s="34">
        <f>(VLOOKUP(C62,'List Data'!A$106:B$109,2,0))*B62</f>
        <v>0</v>
      </c>
      <c r="P62" s="26">
        <f>VLOOKUP(K62,'List Data'!A$2:C$94,3,0)</f>
        <v>0</v>
      </c>
      <c r="Q62" s="26" t="str">
        <f>VLOOKUP(K62,'List Data'!A$2:B$94,2,0)</f>
        <v>--------</v>
      </c>
      <c r="R62" s="26">
        <f t="shared" si="4"/>
        <v>0</v>
      </c>
      <c r="S62" s="26">
        <f t="shared" si="5"/>
        <v>0</v>
      </c>
      <c r="T62" s="26">
        <f t="shared" si="6"/>
        <v>0</v>
      </c>
      <c r="U62" s="26">
        <f>(IF(AND((P62="OP"),(J62="Child (0-7 years)")),VLOOKUP(R62,'OP Values'!$A$1:$Q$35,7),))*I62</f>
        <v>0</v>
      </c>
      <c r="V62" s="26">
        <f>(IF(P62="OP",VLOOKUP($R62,'OP Values'!$A$1:$Q$35,17),))*I62</f>
        <v>0</v>
      </c>
      <c r="W62" s="26">
        <f>(IF(AND((P62="Pb"),(J62="Child (0-7 years)")),(VLOOKUP(R62,Pb!$C$2:$AV$103,11)),0))*I62</f>
        <v>0</v>
      </c>
      <c r="X62" s="26">
        <f>(IF(AND((P62="Pb"),(J62="Child (0-7 years)")),(VLOOKUP(R62,Pb!$C$2:$AV$103,20)),0))*I62</f>
        <v>0</v>
      </c>
      <c r="Y62" s="26">
        <f>(IF(AND((P62="Pb"),(J62="Adult (&gt; 15 years)")),(VLOOKUP(R62,Pb!$C$2:$AV$103,46)),0))*I62</f>
        <v>0</v>
      </c>
      <c r="Z62" s="26">
        <f>(IF(AND((P62="Hg"),(J62="Child (0-7 years)")),(VLOOKUP(R62,'Hg Values'!$A$1:$M$30,3)),0))*I62</f>
        <v>0</v>
      </c>
      <c r="AA62" s="26">
        <f>(IF(AND((P62="Hg"),(J62="Child (0-7 years)")),(VLOOKUP(R62,'Hg Values'!$A$1:$M$30,13)),0))*I62</f>
        <v>0</v>
      </c>
      <c r="AB62" s="5">
        <f>(((IF(AND((P62="CA"),(J62="Adult (&gt; 15 years)")),((R62*1)/70)*(VLOOKUP(K62,CA_ingestion!A$1:J$78,4,0)),0))))/11</f>
        <v>0</v>
      </c>
      <c r="AC62" s="5">
        <f t="shared" si="7"/>
        <v>0</v>
      </c>
      <c r="AD62" s="5">
        <f>((IF(AND((P62="CA"),(J62="Adult (&gt; 15 years)")),(AC62*(VLOOKUP(K62,CA_ingestion!A$1:J$78,10,0))),0)))</f>
        <v>0</v>
      </c>
      <c r="AE62" s="5">
        <f t="shared" si="8"/>
        <v>0</v>
      </c>
      <c r="AF62" s="5">
        <f t="shared" si="9"/>
        <v>0</v>
      </c>
    </row>
    <row r="63" spans="1:32" ht="15.5">
      <c r="A63" s="29"/>
      <c r="B63" s="29">
        <v>0</v>
      </c>
      <c r="C63" s="29" t="s">
        <v>369</v>
      </c>
      <c r="D63" s="29"/>
      <c r="E63" s="29"/>
      <c r="F63" s="26" t="str">
        <f>Summary!C$23</f>
        <v>Afghanistan</v>
      </c>
      <c r="G63" s="29"/>
      <c r="H63" s="29" t="s">
        <v>369</v>
      </c>
      <c r="I63" s="33">
        <f>VLOOKUP(H63,'List Data'!$A$100:$B$104,2,0)</f>
        <v>0</v>
      </c>
      <c r="J63" s="29" t="s">
        <v>213</v>
      </c>
      <c r="K63" s="29" t="s">
        <v>213</v>
      </c>
      <c r="L63" s="29">
        <v>0</v>
      </c>
      <c r="M63" s="37">
        <f>S63*Summary!$H$27</f>
        <v>0</v>
      </c>
      <c r="N63" s="37">
        <f>T63*Summary!$H$25</f>
        <v>0</v>
      </c>
      <c r="O63" s="34">
        <f>(VLOOKUP(C63,'List Data'!A$106:B$109,2,0))*B63</f>
        <v>0</v>
      </c>
      <c r="P63" s="26">
        <f>VLOOKUP(K63,'List Data'!A$2:C$94,3,0)</f>
        <v>0</v>
      </c>
      <c r="Q63" s="26" t="str">
        <f>VLOOKUP(K63,'List Data'!A$2:B$94,2,0)</f>
        <v>--------</v>
      </c>
      <c r="R63" s="26">
        <f t="shared" si="4"/>
        <v>0</v>
      </c>
      <c r="S63" s="26">
        <f t="shared" si="5"/>
        <v>0</v>
      </c>
      <c r="T63" s="26">
        <f t="shared" si="6"/>
        <v>0</v>
      </c>
      <c r="U63" s="26">
        <f>(IF(AND((P63="OP"),(J63="Child (0-7 years)")),VLOOKUP(R63,'OP Values'!$A$1:$Q$35,7),))*I63</f>
        <v>0</v>
      </c>
      <c r="V63" s="26">
        <f>(IF(P63="OP",VLOOKUP($R63,'OP Values'!$A$1:$Q$35,17),))*I63</f>
        <v>0</v>
      </c>
      <c r="W63" s="26">
        <f>(IF(AND((P63="Pb"),(J63="Child (0-7 years)")),(VLOOKUP(R63,Pb!$C$2:$AV$103,11)),0))*I63</f>
        <v>0</v>
      </c>
      <c r="X63" s="26">
        <f>(IF(AND((P63="Pb"),(J63="Child (0-7 years)")),(VLOOKUP(R63,Pb!$C$2:$AV$103,20)),0))*I63</f>
        <v>0</v>
      </c>
      <c r="Y63" s="26">
        <f>(IF(AND((P63="Pb"),(J63="Adult (&gt; 15 years)")),(VLOOKUP(R63,Pb!$C$2:$AV$103,46)),0))*I63</f>
        <v>0</v>
      </c>
      <c r="Z63" s="26">
        <f>(IF(AND((P63="Hg"),(J63="Child (0-7 years)")),(VLOOKUP(R63,'Hg Values'!$A$1:$M$30,3)),0))*I63</f>
        <v>0</v>
      </c>
      <c r="AA63" s="26">
        <f>(IF(AND((P63="Hg"),(J63="Child (0-7 years)")),(VLOOKUP(R63,'Hg Values'!$A$1:$M$30,13)),0))*I63</f>
        <v>0</v>
      </c>
      <c r="AB63" s="5">
        <f>(((IF(AND((P63="CA"),(J63="Adult (&gt; 15 years)")),((R63*1)/70)*(VLOOKUP(K63,CA_ingestion!A$1:J$78,4,0)),0))))/11</f>
        <v>0</v>
      </c>
      <c r="AC63" s="5">
        <f t="shared" si="7"/>
        <v>0</v>
      </c>
      <c r="AD63" s="5">
        <f>((IF(AND((P63="CA"),(J63="Adult (&gt; 15 years)")),(AC63*(VLOOKUP(K63,CA_ingestion!A$1:J$78,10,0))),0)))</f>
        <v>0</v>
      </c>
      <c r="AE63" s="5">
        <f t="shared" si="8"/>
        <v>0</v>
      </c>
      <c r="AF63" s="5">
        <f t="shared" si="9"/>
        <v>0</v>
      </c>
    </row>
    <row r="64" spans="1:32" ht="15.5">
      <c r="A64" s="29"/>
      <c r="B64" s="29">
        <v>0</v>
      </c>
      <c r="C64" s="29" t="s">
        <v>369</v>
      </c>
      <c r="D64" s="29"/>
      <c r="E64" s="29"/>
      <c r="F64" s="26" t="str">
        <f>Summary!C$23</f>
        <v>Afghanistan</v>
      </c>
      <c r="G64" s="29"/>
      <c r="H64" s="29" t="s">
        <v>369</v>
      </c>
      <c r="I64" s="33">
        <f>VLOOKUP(H64,'List Data'!$A$100:$B$104,2,0)</f>
        <v>0</v>
      </c>
      <c r="J64" s="29" t="s">
        <v>213</v>
      </c>
      <c r="K64" s="29" t="s">
        <v>213</v>
      </c>
      <c r="L64" s="29">
        <v>0</v>
      </c>
      <c r="M64" s="37">
        <f>S64*Summary!$H$27</f>
        <v>0</v>
      </c>
      <c r="N64" s="37">
        <f>T64*Summary!$H$25</f>
        <v>0</v>
      </c>
      <c r="O64" s="34">
        <f>(VLOOKUP(C64,'List Data'!A$106:B$109,2,0))*B64</f>
        <v>0</v>
      </c>
      <c r="P64" s="26">
        <f>VLOOKUP(K64,'List Data'!A$2:C$94,3,0)</f>
        <v>0</v>
      </c>
      <c r="Q64" s="26" t="str">
        <f>VLOOKUP(K64,'List Data'!A$2:B$94,2,0)</f>
        <v>--------</v>
      </c>
      <c r="R64" s="26">
        <f t="shared" si="4"/>
        <v>0</v>
      </c>
      <c r="S64" s="26">
        <f t="shared" si="5"/>
        <v>0</v>
      </c>
      <c r="T64" s="26">
        <f t="shared" si="6"/>
        <v>0</v>
      </c>
      <c r="U64" s="26">
        <f>(IF(AND((P64="OP"),(J64="Child (0-7 years)")),VLOOKUP(R64,'OP Values'!$A$1:$Q$35,7),))*I64</f>
        <v>0</v>
      </c>
      <c r="V64" s="26">
        <f>(IF(P64="OP",VLOOKUP($R64,'OP Values'!$A$1:$Q$35,17),))*I64</f>
        <v>0</v>
      </c>
      <c r="W64" s="26">
        <f>(IF(AND((P64="Pb"),(J64="Child (0-7 years)")),(VLOOKUP(R64,Pb!$C$2:$AV$103,11)),0))*I64</f>
        <v>0</v>
      </c>
      <c r="X64" s="26">
        <f>(IF(AND((P64="Pb"),(J64="Child (0-7 years)")),(VLOOKUP(R64,Pb!$C$2:$AV$103,20)),0))*I64</f>
        <v>0</v>
      </c>
      <c r="Y64" s="26">
        <f>(IF(AND((P64="Pb"),(J64="Adult (&gt; 15 years)")),(VLOOKUP(R64,Pb!$C$2:$AV$103,46)),0))*I64</f>
        <v>0</v>
      </c>
      <c r="Z64" s="26">
        <f>(IF(AND((P64="Hg"),(J64="Child (0-7 years)")),(VLOOKUP(R64,'Hg Values'!$A$1:$M$30,3)),0))*I64</f>
        <v>0</v>
      </c>
      <c r="AA64" s="26">
        <f>(IF(AND((P64="Hg"),(J64="Child (0-7 years)")),(VLOOKUP(R64,'Hg Values'!$A$1:$M$30,13)),0))*I64</f>
        <v>0</v>
      </c>
      <c r="AB64" s="5">
        <f>(((IF(AND((P64="CA"),(J64="Adult (&gt; 15 years)")),((R64*1)/70)*(VLOOKUP(K64,CA_ingestion!A$1:J$78,4,0)),0))))/11</f>
        <v>0</v>
      </c>
      <c r="AC64" s="5">
        <f t="shared" si="7"/>
        <v>0</v>
      </c>
      <c r="AD64" s="5">
        <f>((IF(AND((P64="CA"),(J64="Adult (&gt; 15 years)")),(AC64*(VLOOKUP(K64,CA_ingestion!A$1:J$78,10,0))),0)))</f>
        <v>0</v>
      </c>
      <c r="AE64" s="5">
        <f t="shared" si="8"/>
        <v>0</v>
      </c>
      <c r="AF64" s="5">
        <f t="shared" si="9"/>
        <v>0</v>
      </c>
    </row>
    <row r="65" spans="1:32" ht="15.5">
      <c r="A65" s="29"/>
      <c r="B65" s="29">
        <v>0</v>
      </c>
      <c r="C65" s="29" t="s">
        <v>369</v>
      </c>
      <c r="D65" s="29"/>
      <c r="E65" s="29"/>
      <c r="F65" s="26" t="str">
        <f>Summary!C$23</f>
        <v>Afghanistan</v>
      </c>
      <c r="G65" s="29"/>
      <c r="H65" s="29" t="s">
        <v>369</v>
      </c>
      <c r="I65" s="33">
        <f>VLOOKUP(H65,'List Data'!$A$100:$B$104,2,0)</f>
        <v>0</v>
      </c>
      <c r="J65" s="29" t="s">
        <v>213</v>
      </c>
      <c r="K65" s="29" t="s">
        <v>213</v>
      </c>
      <c r="L65" s="29">
        <v>0</v>
      </c>
      <c r="M65" s="37">
        <f>S65*Summary!$H$27</f>
        <v>0</v>
      </c>
      <c r="N65" s="37">
        <f>T65*Summary!$H$25</f>
        <v>0</v>
      </c>
      <c r="O65" s="34">
        <f>(VLOOKUP(C65,'List Data'!A$106:B$109,2,0))*B65</f>
        <v>0</v>
      </c>
      <c r="P65" s="26">
        <f>VLOOKUP(K65,'List Data'!A$2:C$94,3,0)</f>
        <v>0</v>
      </c>
      <c r="Q65" s="26" t="str">
        <f>VLOOKUP(K65,'List Data'!A$2:B$94,2,0)</f>
        <v>--------</v>
      </c>
      <c r="R65" s="26">
        <f t="shared" si="4"/>
        <v>0</v>
      </c>
      <c r="S65" s="26">
        <f t="shared" si="5"/>
        <v>0</v>
      </c>
      <c r="T65" s="26">
        <f t="shared" si="6"/>
        <v>0</v>
      </c>
      <c r="U65" s="26">
        <f>(IF(AND((P65="OP"),(J65="Child (0-7 years)")),VLOOKUP(R65,'OP Values'!$A$1:$Q$35,7),))*I65</f>
        <v>0</v>
      </c>
      <c r="V65" s="26">
        <f>(IF(P65="OP",VLOOKUP($R65,'OP Values'!$A$1:$Q$35,17),))*I65</f>
        <v>0</v>
      </c>
      <c r="W65" s="26">
        <f>(IF(AND((P65="Pb"),(J65="Child (0-7 years)")),(VLOOKUP(R65,Pb!$C$2:$AV$103,11)),0))*I65</f>
        <v>0</v>
      </c>
      <c r="X65" s="26">
        <f>(IF(AND((P65="Pb"),(J65="Child (0-7 years)")),(VLOOKUP(R65,Pb!$C$2:$AV$103,20)),0))*I65</f>
        <v>0</v>
      </c>
      <c r="Y65" s="26">
        <f>(IF(AND((P65="Pb"),(J65="Adult (&gt; 15 years)")),(VLOOKUP(R65,Pb!$C$2:$AV$103,46)),0))*I65</f>
        <v>0</v>
      </c>
      <c r="Z65" s="26">
        <f>(IF(AND((P65="Hg"),(J65="Child (0-7 years)")),(VLOOKUP(R65,'Hg Values'!$A$1:$M$30,3)),0))*I65</f>
        <v>0</v>
      </c>
      <c r="AA65" s="26">
        <f>(IF(AND((P65="Hg"),(J65="Child (0-7 years)")),(VLOOKUP(R65,'Hg Values'!$A$1:$M$30,13)),0))*I65</f>
        <v>0</v>
      </c>
      <c r="AB65" s="5">
        <f>(((IF(AND((P65="CA"),(J65="Adult (&gt; 15 years)")),((R65*1)/70)*(VLOOKUP(K65,CA_ingestion!A$1:J$78,4,0)),0))))/11</f>
        <v>0</v>
      </c>
      <c r="AC65" s="5">
        <f t="shared" si="7"/>
        <v>0</v>
      </c>
      <c r="AD65" s="5">
        <f>((IF(AND((P65="CA"),(J65="Adult (&gt; 15 years)")),(AC65*(VLOOKUP(K65,CA_ingestion!A$1:J$78,10,0))),0)))</f>
        <v>0</v>
      </c>
      <c r="AE65" s="5">
        <f t="shared" si="8"/>
        <v>0</v>
      </c>
      <c r="AF65" s="5">
        <f t="shared" si="9"/>
        <v>0</v>
      </c>
    </row>
    <row r="66" spans="1:32" ht="15.5">
      <c r="A66" s="29"/>
      <c r="B66" s="29">
        <v>0</v>
      </c>
      <c r="C66" s="29" t="s">
        <v>369</v>
      </c>
      <c r="D66" s="29"/>
      <c r="E66" s="29"/>
      <c r="F66" s="26" t="str">
        <f>Summary!C$23</f>
        <v>Afghanistan</v>
      </c>
      <c r="G66" s="29"/>
      <c r="H66" s="29" t="s">
        <v>369</v>
      </c>
      <c r="I66" s="33">
        <f>VLOOKUP(H66,'List Data'!$A$100:$B$104,2,0)</f>
        <v>0</v>
      </c>
      <c r="J66" s="29" t="s">
        <v>213</v>
      </c>
      <c r="K66" s="29" t="s">
        <v>213</v>
      </c>
      <c r="L66" s="29">
        <v>0</v>
      </c>
      <c r="M66" s="37">
        <f>S66*Summary!$H$27</f>
        <v>0</v>
      </c>
      <c r="N66" s="37">
        <f>T66*Summary!$H$25</f>
        <v>0</v>
      </c>
      <c r="O66" s="34">
        <f>(VLOOKUP(C66,'List Data'!A$106:B$109,2,0))*B66</f>
        <v>0</v>
      </c>
      <c r="P66" s="26">
        <f>VLOOKUP(K66,'List Data'!A$2:C$94,3,0)</f>
        <v>0</v>
      </c>
      <c r="Q66" s="26" t="str">
        <f>VLOOKUP(K66,'List Data'!A$2:B$94,2,0)</f>
        <v>--------</v>
      </c>
      <c r="R66" s="26">
        <f t="shared" si="4"/>
        <v>0</v>
      </c>
      <c r="S66" s="26">
        <f t="shared" si="5"/>
        <v>0</v>
      </c>
      <c r="T66" s="26">
        <f t="shared" si="6"/>
        <v>0</v>
      </c>
      <c r="U66" s="26">
        <f>(IF(AND((P66="OP"),(J66="Child (0-7 years)")),VLOOKUP(R66,'OP Values'!$A$1:$Q$35,7),))*I66</f>
        <v>0</v>
      </c>
      <c r="V66" s="26">
        <f>(IF(P66="OP",VLOOKUP($R66,'OP Values'!$A$1:$Q$35,17),))*I66</f>
        <v>0</v>
      </c>
      <c r="W66" s="26">
        <f>(IF(AND((P66="Pb"),(J66="Child (0-7 years)")),(VLOOKUP(R66,Pb!$C$2:$AV$103,11)),0))*I66</f>
        <v>0</v>
      </c>
      <c r="X66" s="26">
        <f>(IF(AND((P66="Pb"),(J66="Child (0-7 years)")),(VLOOKUP(R66,Pb!$C$2:$AV$103,20)),0))*I66</f>
        <v>0</v>
      </c>
      <c r="Y66" s="26">
        <f>(IF(AND((P66="Pb"),(J66="Adult (&gt; 15 years)")),(VLOOKUP(R66,Pb!$C$2:$AV$103,46)),0))*I66</f>
        <v>0</v>
      </c>
      <c r="Z66" s="26">
        <f>(IF(AND((P66="Hg"),(J66="Child (0-7 years)")),(VLOOKUP(R66,'Hg Values'!$A$1:$M$30,3)),0))*I66</f>
        <v>0</v>
      </c>
      <c r="AA66" s="26">
        <f>(IF(AND((P66="Hg"),(J66="Child (0-7 years)")),(VLOOKUP(R66,'Hg Values'!$A$1:$M$30,13)),0))*I66</f>
        <v>0</v>
      </c>
      <c r="AB66" s="5">
        <f>(((IF(AND((P66="CA"),(J66="Adult (&gt; 15 years)")),((R66*1)/70)*(VLOOKUP(K66,CA_ingestion!A$1:J$78,4,0)),0))))/11</f>
        <v>0</v>
      </c>
      <c r="AC66" s="5">
        <f t="shared" si="7"/>
        <v>0</v>
      </c>
      <c r="AD66" s="5">
        <f>((IF(AND((P66="CA"),(J66="Adult (&gt; 15 years)")),(AC66*(VLOOKUP(K66,CA_ingestion!A$1:J$78,10,0))),0)))</f>
        <v>0</v>
      </c>
      <c r="AE66" s="5">
        <f t="shared" si="8"/>
        <v>0</v>
      </c>
      <c r="AF66" s="5">
        <f t="shared" si="9"/>
        <v>0</v>
      </c>
    </row>
    <row r="67" spans="1:32" ht="15.5">
      <c r="A67" s="29"/>
      <c r="B67" s="29">
        <v>0</v>
      </c>
      <c r="C67" s="29" t="s">
        <v>369</v>
      </c>
      <c r="D67" s="29"/>
      <c r="E67" s="29"/>
      <c r="F67" s="26" t="str">
        <f>Summary!C$23</f>
        <v>Afghanistan</v>
      </c>
      <c r="G67" s="29"/>
      <c r="H67" s="29" t="s">
        <v>369</v>
      </c>
      <c r="I67" s="33">
        <f>VLOOKUP(H67,'List Data'!$A$100:$B$104,2,0)</f>
        <v>0</v>
      </c>
      <c r="J67" s="29" t="s">
        <v>213</v>
      </c>
      <c r="K67" s="29" t="s">
        <v>213</v>
      </c>
      <c r="L67" s="29">
        <v>0</v>
      </c>
      <c r="M67" s="37">
        <f>S67*Summary!$H$27</f>
        <v>0</v>
      </c>
      <c r="N67" s="37">
        <f>T67*Summary!$H$25</f>
        <v>0</v>
      </c>
      <c r="O67" s="34">
        <f>(VLOOKUP(C67,'List Data'!A$106:B$109,2,0))*B67</f>
        <v>0</v>
      </c>
      <c r="P67" s="26">
        <f>VLOOKUP(K67,'List Data'!A$2:C$94,3,0)</f>
        <v>0</v>
      </c>
      <c r="Q67" s="26" t="str">
        <f>VLOOKUP(K67,'List Data'!A$2:B$94,2,0)</f>
        <v>--------</v>
      </c>
      <c r="R67" s="26">
        <f t="shared" si="4"/>
        <v>0</v>
      </c>
      <c r="S67" s="26">
        <f t="shared" si="5"/>
        <v>0</v>
      </c>
      <c r="T67" s="26">
        <f t="shared" si="6"/>
        <v>0</v>
      </c>
      <c r="U67" s="26">
        <f>(IF(AND((P67="OP"),(J67="Child (0-7 years)")),VLOOKUP(R67,'OP Values'!$A$1:$Q$35,7),))*I67</f>
        <v>0</v>
      </c>
      <c r="V67" s="26">
        <f>(IF(P67="OP",VLOOKUP($R67,'OP Values'!$A$1:$Q$35,17),))*I67</f>
        <v>0</v>
      </c>
      <c r="W67" s="26">
        <f>(IF(AND((P67="Pb"),(J67="Child (0-7 years)")),(VLOOKUP(R67,Pb!$C$2:$AV$103,11)),0))*I67</f>
        <v>0</v>
      </c>
      <c r="X67" s="26">
        <f>(IF(AND((P67="Pb"),(J67="Child (0-7 years)")),(VLOOKUP(R67,Pb!$C$2:$AV$103,20)),0))*I67</f>
        <v>0</v>
      </c>
      <c r="Y67" s="26">
        <f>(IF(AND((P67="Pb"),(J67="Adult (&gt; 15 years)")),(VLOOKUP(R67,Pb!$C$2:$AV$103,46)),0))*I67</f>
        <v>0</v>
      </c>
      <c r="Z67" s="26">
        <f>(IF(AND((P67="Hg"),(J67="Child (0-7 years)")),(VLOOKUP(R67,'Hg Values'!$A$1:$M$30,3)),0))*I67</f>
        <v>0</v>
      </c>
      <c r="AA67" s="26">
        <f>(IF(AND((P67="Hg"),(J67="Child (0-7 years)")),(VLOOKUP(R67,'Hg Values'!$A$1:$M$30,13)),0))*I67</f>
        <v>0</v>
      </c>
      <c r="AB67" s="5">
        <f>(((IF(AND((P67="CA"),(J67="Adult (&gt; 15 years)")),((R67*1)/70)*(VLOOKUP(K67,CA_ingestion!A$1:J$78,4,0)),0))))/11</f>
        <v>0</v>
      </c>
      <c r="AC67" s="5">
        <f t="shared" si="7"/>
        <v>0</v>
      </c>
      <c r="AD67" s="5">
        <f>((IF(AND((P67="CA"),(J67="Adult (&gt; 15 years)")),(AC67*(VLOOKUP(K67,CA_ingestion!A$1:J$78,10,0))),0)))</f>
        <v>0</v>
      </c>
      <c r="AE67" s="5">
        <f t="shared" si="8"/>
        <v>0</v>
      </c>
      <c r="AF67" s="5">
        <f t="shared" si="9"/>
        <v>0</v>
      </c>
    </row>
    <row r="68" spans="1:32" ht="15.5">
      <c r="A68" s="29"/>
      <c r="B68" s="29">
        <v>0</v>
      </c>
      <c r="C68" s="29" t="s">
        <v>369</v>
      </c>
      <c r="D68" s="29"/>
      <c r="E68" s="29"/>
      <c r="F68" s="26" t="str">
        <f>Summary!C$23</f>
        <v>Afghanistan</v>
      </c>
      <c r="G68" s="29"/>
      <c r="H68" s="29" t="s">
        <v>369</v>
      </c>
      <c r="I68" s="33">
        <f>VLOOKUP(H68,'List Data'!$A$100:$B$104,2,0)</f>
        <v>0</v>
      </c>
      <c r="J68" s="29" t="s">
        <v>213</v>
      </c>
      <c r="K68" s="29" t="s">
        <v>213</v>
      </c>
      <c r="L68" s="29">
        <v>0</v>
      </c>
      <c r="M68" s="37">
        <f>S68*Summary!$H$27</f>
        <v>0</v>
      </c>
      <c r="N68" s="37">
        <f>T68*Summary!$H$25</f>
        <v>0</v>
      </c>
      <c r="O68" s="34">
        <f>(VLOOKUP(C68,'List Data'!A$106:B$109,2,0))*B68</f>
        <v>0</v>
      </c>
      <c r="P68" s="26">
        <f>VLOOKUP(K68,'List Data'!A$2:C$94,3,0)</f>
        <v>0</v>
      </c>
      <c r="Q68" s="26" t="str">
        <f>VLOOKUP(K68,'List Data'!A$2:B$94,2,0)</f>
        <v>--------</v>
      </c>
      <c r="R68" s="26">
        <f t="shared" si="4"/>
        <v>0</v>
      </c>
      <c r="S68" s="26">
        <f t="shared" si="5"/>
        <v>0</v>
      </c>
      <c r="T68" s="26">
        <f t="shared" si="6"/>
        <v>0</v>
      </c>
      <c r="U68" s="26">
        <f>(IF(AND((P68="OP"),(J68="Child (0-7 years)")),VLOOKUP(R68,'OP Values'!$A$1:$Q$35,7),))*I68</f>
        <v>0</v>
      </c>
      <c r="V68" s="26">
        <f>(IF(P68="OP",VLOOKUP($R68,'OP Values'!$A$1:$Q$35,17),))*I68</f>
        <v>0</v>
      </c>
      <c r="W68" s="26">
        <f>(IF(AND((P68="Pb"),(J68="Child (0-7 years)")),(VLOOKUP(R68,Pb!$C$2:$AV$103,11)),0))*I68</f>
        <v>0</v>
      </c>
      <c r="X68" s="26">
        <f>(IF(AND((P68="Pb"),(J68="Child (0-7 years)")),(VLOOKUP(R68,Pb!$C$2:$AV$103,20)),0))*I68</f>
        <v>0</v>
      </c>
      <c r="Y68" s="26">
        <f>(IF(AND((P68="Pb"),(J68="Adult (&gt; 15 years)")),(VLOOKUP(R68,Pb!$C$2:$AV$103,46)),0))*I68</f>
        <v>0</v>
      </c>
      <c r="Z68" s="26">
        <f>(IF(AND((P68="Hg"),(J68="Child (0-7 years)")),(VLOOKUP(R68,'Hg Values'!$A$1:$M$30,3)),0))*I68</f>
        <v>0</v>
      </c>
      <c r="AA68" s="26">
        <f>(IF(AND((P68="Hg"),(J68="Child (0-7 years)")),(VLOOKUP(R68,'Hg Values'!$A$1:$M$30,13)),0))*I68</f>
        <v>0</v>
      </c>
      <c r="AB68" s="5">
        <f>(((IF(AND((P68="CA"),(J68="Adult (&gt; 15 years)")),((R68*1)/70)*(VLOOKUP(K68,CA_ingestion!A$1:J$78,4,0)),0))))/11</f>
        <v>0</v>
      </c>
      <c r="AC68" s="5">
        <f t="shared" si="7"/>
        <v>0</v>
      </c>
      <c r="AD68" s="5">
        <f>((IF(AND((P68="CA"),(J68="Adult (&gt; 15 years)")),(AC68*(VLOOKUP(K68,CA_ingestion!A$1:J$78,10,0))),0)))</f>
        <v>0</v>
      </c>
      <c r="AE68" s="5">
        <f t="shared" si="8"/>
        <v>0</v>
      </c>
      <c r="AF68" s="5">
        <f t="shared" si="9"/>
        <v>0</v>
      </c>
    </row>
    <row r="69" spans="1:32" ht="15.5">
      <c r="A69" s="29"/>
      <c r="B69" s="29">
        <v>0</v>
      </c>
      <c r="C69" s="29" t="s">
        <v>369</v>
      </c>
      <c r="D69" s="29"/>
      <c r="E69" s="29"/>
      <c r="F69" s="26" t="str">
        <f>Summary!C$23</f>
        <v>Afghanistan</v>
      </c>
      <c r="G69" s="29"/>
      <c r="H69" s="29" t="s">
        <v>369</v>
      </c>
      <c r="I69" s="33">
        <f>VLOOKUP(H69,'List Data'!$A$100:$B$104,2,0)</f>
        <v>0</v>
      </c>
      <c r="J69" s="29" t="s">
        <v>213</v>
      </c>
      <c r="K69" s="29" t="s">
        <v>213</v>
      </c>
      <c r="L69" s="29">
        <v>0</v>
      </c>
      <c r="M69" s="37">
        <f>S69*Summary!$H$27</f>
        <v>0</v>
      </c>
      <c r="N69" s="37">
        <f>T69*Summary!$H$25</f>
        <v>0</v>
      </c>
      <c r="O69" s="34">
        <f>(VLOOKUP(C69,'List Data'!A$106:B$109,2,0))*B69</f>
        <v>0</v>
      </c>
      <c r="P69" s="26">
        <f>VLOOKUP(K69,'List Data'!A$2:C$94,3,0)</f>
        <v>0</v>
      </c>
      <c r="Q69" s="26" t="str">
        <f>VLOOKUP(K69,'List Data'!A$2:B$94,2,0)</f>
        <v>--------</v>
      </c>
      <c r="R69" s="26">
        <f t="shared" si="4"/>
        <v>0</v>
      </c>
      <c r="S69" s="26">
        <f t="shared" si="5"/>
        <v>0</v>
      </c>
      <c r="T69" s="26">
        <f t="shared" si="6"/>
        <v>0</v>
      </c>
      <c r="U69" s="26">
        <f>(IF(AND((P69="OP"),(J69="Child (0-7 years)")),VLOOKUP(R69,'OP Values'!$A$1:$Q$35,7),))*I69</f>
        <v>0</v>
      </c>
      <c r="V69" s="26">
        <f>(IF(P69="OP",VLOOKUP($R69,'OP Values'!$A$1:$Q$35,17),))*I69</f>
        <v>0</v>
      </c>
      <c r="W69" s="26">
        <f>(IF(AND((P69="Pb"),(J69="Child (0-7 years)")),(VLOOKUP(R69,Pb!$C$2:$AV$103,11)),0))*I69</f>
        <v>0</v>
      </c>
      <c r="X69" s="26">
        <f>(IF(AND((P69="Pb"),(J69="Child (0-7 years)")),(VLOOKUP(R69,Pb!$C$2:$AV$103,20)),0))*I69</f>
        <v>0</v>
      </c>
      <c r="Y69" s="26">
        <f>(IF(AND((P69="Pb"),(J69="Adult (&gt; 15 years)")),(VLOOKUP(R69,Pb!$C$2:$AV$103,46)),0))*I69</f>
        <v>0</v>
      </c>
      <c r="Z69" s="26">
        <f>(IF(AND((P69="Hg"),(J69="Child (0-7 years)")),(VLOOKUP(R69,'Hg Values'!$A$1:$M$30,3)),0))*I69</f>
        <v>0</v>
      </c>
      <c r="AA69" s="26">
        <f>(IF(AND((P69="Hg"),(J69="Child (0-7 years)")),(VLOOKUP(R69,'Hg Values'!$A$1:$M$30,13)),0))*I69</f>
        <v>0</v>
      </c>
      <c r="AB69" s="5">
        <f>(((IF(AND((P69="CA"),(J69="Adult (&gt; 15 years)")),((R69*1)/70)*(VLOOKUP(K69,CA_ingestion!A$1:J$78,4,0)),0))))/11</f>
        <v>0</v>
      </c>
      <c r="AC69" s="5">
        <f t="shared" si="7"/>
        <v>0</v>
      </c>
      <c r="AD69" s="5">
        <f>((IF(AND((P69="CA"),(J69="Adult (&gt; 15 years)")),(AC69*(VLOOKUP(K69,CA_ingestion!A$1:J$78,10,0))),0)))</f>
        <v>0</v>
      </c>
      <c r="AE69" s="5">
        <f t="shared" si="8"/>
        <v>0</v>
      </c>
      <c r="AF69" s="5">
        <f t="shared" si="9"/>
        <v>0</v>
      </c>
    </row>
    <row r="70" spans="1:32" ht="15.5">
      <c r="A70" s="29"/>
      <c r="B70" s="29">
        <v>0</v>
      </c>
      <c r="C70" s="29" t="s">
        <v>369</v>
      </c>
      <c r="D70" s="29"/>
      <c r="E70" s="29"/>
      <c r="F70" s="26" t="str">
        <f>Summary!C$23</f>
        <v>Afghanistan</v>
      </c>
      <c r="G70" s="29"/>
      <c r="H70" s="29" t="s">
        <v>369</v>
      </c>
      <c r="I70" s="33">
        <f>VLOOKUP(H70,'List Data'!$A$100:$B$104,2,0)</f>
        <v>0</v>
      </c>
      <c r="J70" s="29" t="s">
        <v>213</v>
      </c>
      <c r="K70" s="29" t="s">
        <v>213</v>
      </c>
      <c r="L70" s="29">
        <v>0</v>
      </c>
      <c r="M70" s="37">
        <f>S70*Summary!$H$27</f>
        <v>0</v>
      </c>
      <c r="N70" s="37">
        <f>T70*Summary!$H$25</f>
        <v>0</v>
      </c>
      <c r="O70" s="34">
        <f>(VLOOKUP(C70,'List Data'!A$106:B$109,2,0))*B70</f>
        <v>0</v>
      </c>
      <c r="P70" s="26">
        <f>VLOOKUP(K70,'List Data'!A$2:C$94,3,0)</f>
        <v>0</v>
      </c>
      <c r="Q70" s="26" t="str">
        <f>VLOOKUP(K70,'List Data'!A$2:B$94,2,0)</f>
        <v>--------</v>
      </c>
      <c r="R70" s="26">
        <f t="shared" ref="R70:R104" si="10">L70*O70*B70</f>
        <v>0</v>
      </c>
      <c r="S70" s="26">
        <f t="shared" ref="S70:S104" si="11">U70+W70+Z70</f>
        <v>0</v>
      </c>
      <c r="T70" s="26">
        <f t="shared" ref="T70:T104" si="12">V70+X70+Y70+AA70+AF70</f>
        <v>0</v>
      </c>
      <c r="U70" s="26">
        <f>(IF(AND((P70="OP"),(J70="Child (0-7 years)")),VLOOKUP(R70,'OP Values'!$A$1:$Q$35,7),))*I70</f>
        <v>0</v>
      </c>
      <c r="V70" s="26">
        <f>(IF(P70="OP",VLOOKUP($R70,'OP Values'!$A$1:$Q$35,17),))*I70</f>
        <v>0</v>
      </c>
      <c r="W70" s="26">
        <f>(IF(AND((P70="Pb"),(J70="Child (0-7 years)")),(VLOOKUP(R70,Pb!$C$2:$AV$103,11)),0))*I70</f>
        <v>0</v>
      </c>
      <c r="X70" s="26">
        <f>(IF(AND((P70="Pb"),(J70="Child (0-7 years)")),(VLOOKUP(R70,Pb!$C$2:$AV$103,20)),0))*I70</f>
        <v>0</v>
      </c>
      <c r="Y70" s="26">
        <f>(IF(AND((P70="Pb"),(J70="Adult (&gt; 15 years)")),(VLOOKUP(R70,Pb!$C$2:$AV$103,46)),0))*I70</f>
        <v>0</v>
      </c>
      <c r="Z70" s="26">
        <f>(IF(AND((P70="Hg"),(J70="Child (0-7 years)")),(VLOOKUP(R70,'Hg Values'!$A$1:$M$30,3)),0))*I70</f>
        <v>0</v>
      </c>
      <c r="AA70" s="26">
        <f>(IF(AND((P70="Hg"),(J70="Child (0-7 years)")),(VLOOKUP(R70,'Hg Values'!$A$1:$M$30,13)),0))*I70</f>
        <v>0</v>
      </c>
      <c r="AB70" s="5">
        <f>(((IF(AND((P70="CA"),(J70="Adult (&gt; 15 years)")),((R70*1)/70)*(VLOOKUP(K70,CA_ingestion!A$1:J$78,4,0)),0))))/11</f>
        <v>0</v>
      </c>
      <c r="AC70" s="5">
        <f t="shared" ref="AC70:AC104" si="13">(IF(AB70&gt;1,1,AB70))*I70</f>
        <v>0</v>
      </c>
      <c r="AD70" s="5">
        <f>((IF(AND((P70="CA"),(J70="Adult (&gt; 15 years)")),(AC70*(VLOOKUP(K70,CA_ingestion!A$1:J$78,10,0))),0)))</f>
        <v>0</v>
      </c>
      <c r="AE70" s="5">
        <f t="shared" ref="AE70:AE104" si="14">AC70/2</f>
        <v>0</v>
      </c>
      <c r="AF70" s="5">
        <f t="shared" ref="AF70:AF104" si="15">AO70+AE70</f>
        <v>0</v>
      </c>
    </row>
    <row r="71" spans="1:32" ht="15.5">
      <c r="A71" s="29"/>
      <c r="B71" s="29">
        <v>0</v>
      </c>
      <c r="C71" s="29" t="s">
        <v>369</v>
      </c>
      <c r="D71" s="29"/>
      <c r="E71" s="29"/>
      <c r="F71" s="26" t="str">
        <f>Summary!C$23</f>
        <v>Afghanistan</v>
      </c>
      <c r="G71" s="29"/>
      <c r="H71" s="29" t="s">
        <v>369</v>
      </c>
      <c r="I71" s="33">
        <f>VLOOKUP(H71,'List Data'!$A$100:$B$104,2,0)</f>
        <v>0</v>
      </c>
      <c r="J71" s="29" t="s">
        <v>213</v>
      </c>
      <c r="K71" s="29" t="s">
        <v>213</v>
      </c>
      <c r="L71" s="29">
        <v>0</v>
      </c>
      <c r="M71" s="37">
        <f>S71*Summary!$H$27</f>
        <v>0</v>
      </c>
      <c r="N71" s="37">
        <f>T71*Summary!$H$25</f>
        <v>0</v>
      </c>
      <c r="O71" s="34">
        <f>(VLOOKUP(C71,'List Data'!A$106:B$109,2,0))*B71</f>
        <v>0</v>
      </c>
      <c r="P71" s="26">
        <f>VLOOKUP(K71,'List Data'!A$2:C$94,3,0)</f>
        <v>0</v>
      </c>
      <c r="Q71" s="26" t="str">
        <f>VLOOKUP(K71,'List Data'!A$2:B$94,2,0)</f>
        <v>--------</v>
      </c>
      <c r="R71" s="26">
        <f t="shared" si="10"/>
        <v>0</v>
      </c>
      <c r="S71" s="26">
        <f t="shared" si="11"/>
        <v>0</v>
      </c>
      <c r="T71" s="26">
        <f t="shared" si="12"/>
        <v>0</v>
      </c>
      <c r="U71" s="26">
        <f>(IF(AND((P71="OP"),(J71="Child (0-7 years)")),VLOOKUP(R71,'OP Values'!$A$1:$Q$35,7),))*I71</f>
        <v>0</v>
      </c>
      <c r="V71" s="26">
        <f>(IF(P71="OP",VLOOKUP($R71,'OP Values'!$A$1:$Q$35,17),))*I71</f>
        <v>0</v>
      </c>
      <c r="W71" s="26">
        <f>(IF(AND((P71="Pb"),(J71="Child (0-7 years)")),(VLOOKUP(R71,Pb!$C$2:$AV$103,11)),0))*I71</f>
        <v>0</v>
      </c>
      <c r="X71" s="26">
        <f>(IF(AND((P71="Pb"),(J71="Child (0-7 years)")),(VLOOKUP(R71,Pb!$C$2:$AV$103,20)),0))*I71</f>
        <v>0</v>
      </c>
      <c r="Y71" s="26">
        <f>(IF(AND((P71="Pb"),(J71="Adult (&gt; 15 years)")),(VLOOKUP(R71,Pb!$C$2:$AV$103,46)),0))*I71</f>
        <v>0</v>
      </c>
      <c r="Z71" s="26">
        <f>(IF(AND((P71="Hg"),(J71="Child (0-7 years)")),(VLOOKUP(R71,'Hg Values'!$A$1:$M$30,3)),0))*I71</f>
        <v>0</v>
      </c>
      <c r="AA71" s="26">
        <f>(IF(AND((P71="Hg"),(J71="Child (0-7 years)")),(VLOOKUP(R71,'Hg Values'!$A$1:$M$30,13)),0))*I71</f>
        <v>0</v>
      </c>
      <c r="AB71" s="5">
        <f>(((IF(AND((P71="CA"),(J71="Adult (&gt; 15 years)")),((R71*1)/70)*(VLOOKUP(K71,CA_ingestion!A$1:J$78,4,0)),0))))/11</f>
        <v>0</v>
      </c>
      <c r="AC71" s="5">
        <f t="shared" si="13"/>
        <v>0</v>
      </c>
      <c r="AD71" s="5">
        <f>((IF(AND((P71="CA"),(J71="Adult (&gt; 15 years)")),(AC71*(VLOOKUP(K71,CA_ingestion!A$1:J$78,10,0))),0)))</f>
        <v>0</v>
      </c>
      <c r="AE71" s="5">
        <f t="shared" si="14"/>
        <v>0</v>
      </c>
      <c r="AF71" s="5">
        <f t="shared" si="15"/>
        <v>0</v>
      </c>
    </row>
    <row r="72" spans="1:32" ht="15.5">
      <c r="A72" s="29"/>
      <c r="B72" s="29">
        <v>0</v>
      </c>
      <c r="C72" s="29" t="s">
        <v>369</v>
      </c>
      <c r="D72" s="29"/>
      <c r="E72" s="29"/>
      <c r="F72" s="26" t="str">
        <f>Summary!C$23</f>
        <v>Afghanistan</v>
      </c>
      <c r="G72" s="29"/>
      <c r="H72" s="29" t="s">
        <v>369</v>
      </c>
      <c r="I72" s="33">
        <f>VLOOKUP(H72,'List Data'!$A$100:$B$104,2,0)</f>
        <v>0</v>
      </c>
      <c r="J72" s="29" t="s">
        <v>213</v>
      </c>
      <c r="K72" s="29" t="s">
        <v>213</v>
      </c>
      <c r="L72" s="29">
        <v>0</v>
      </c>
      <c r="M72" s="37">
        <f>S72*Summary!$H$27</f>
        <v>0</v>
      </c>
      <c r="N72" s="37">
        <f>T72*Summary!$H$25</f>
        <v>0</v>
      </c>
      <c r="O72" s="34">
        <f>(VLOOKUP(C72,'List Data'!A$106:B$109,2,0))*B72</f>
        <v>0</v>
      </c>
      <c r="P72" s="26">
        <f>VLOOKUP(K72,'List Data'!A$2:C$94,3,0)</f>
        <v>0</v>
      </c>
      <c r="Q72" s="26" t="str">
        <f>VLOOKUP(K72,'List Data'!A$2:B$94,2,0)</f>
        <v>--------</v>
      </c>
      <c r="R72" s="26">
        <f t="shared" si="10"/>
        <v>0</v>
      </c>
      <c r="S72" s="26">
        <f t="shared" si="11"/>
        <v>0</v>
      </c>
      <c r="T72" s="26">
        <f t="shared" si="12"/>
        <v>0</v>
      </c>
      <c r="U72" s="26">
        <f>(IF(AND((P72="OP"),(J72="Child (0-7 years)")),VLOOKUP(R72,'OP Values'!$A$1:$Q$35,7),))*I72</f>
        <v>0</v>
      </c>
      <c r="V72" s="26">
        <f>(IF(P72="OP",VLOOKUP($R72,'OP Values'!$A$1:$Q$35,17),))*I72</f>
        <v>0</v>
      </c>
      <c r="W72" s="26">
        <f>(IF(AND((P72="Pb"),(J72="Child (0-7 years)")),(VLOOKUP(R72,Pb!$C$2:$AV$103,11)),0))*I72</f>
        <v>0</v>
      </c>
      <c r="X72" s="26">
        <f>(IF(AND((P72="Pb"),(J72="Child (0-7 years)")),(VLOOKUP(R72,Pb!$C$2:$AV$103,20)),0))*I72</f>
        <v>0</v>
      </c>
      <c r="Y72" s="26">
        <f>(IF(AND((P72="Pb"),(J72="Adult (&gt; 15 years)")),(VLOOKUP(R72,Pb!$C$2:$AV$103,46)),0))*I72</f>
        <v>0</v>
      </c>
      <c r="Z72" s="26">
        <f>(IF(AND((P72="Hg"),(J72="Child (0-7 years)")),(VLOOKUP(R72,'Hg Values'!$A$1:$M$30,3)),0))*I72</f>
        <v>0</v>
      </c>
      <c r="AA72" s="26">
        <f>(IF(AND((P72="Hg"),(J72="Child (0-7 years)")),(VLOOKUP(R72,'Hg Values'!$A$1:$M$30,13)),0))*I72</f>
        <v>0</v>
      </c>
      <c r="AB72" s="5">
        <f>(((IF(AND((P72="CA"),(J72="Adult (&gt; 15 years)")),((R72*1)/70)*(VLOOKUP(K72,CA_ingestion!A$1:J$78,4,0)),0))))/11</f>
        <v>0</v>
      </c>
      <c r="AC72" s="5">
        <f t="shared" si="13"/>
        <v>0</v>
      </c>
      <c r="AD72" s="5">
        <f>((IF(AND((P72="CA"),(J72="Adult (&gt; 15 years)")),(AC72*(VLOOKUP(K72,CA_ingestion!A$1:J$78,10,0))),0)))</f>
        <v>0</v>
      </c>
      <c r="AE72" s="5">
        <f t="shared" si="14"/>
        <v>0</v>
      </c>
      <c r="AF72" s="5">
        <f t="shared" si="15"/>
        <v>0</v>
      </c>
    </row>
    <row r="73" spans="1:32" ht="15.5">
      <c r="A73" s="29"/>
      <c r="B73" s="29">
        <v>0</v>
      </c>
      <c r="C73" s="29" t="s">
        <v>369</v>
      </c>
      <c r="D73" s="29"/>
      <c r="E73" s="29"/>
      <c r="F73" s="26" t="str">
        <f>Summary!C$23</f>
        <v>Afghanistan</v>
      </c>
      <c r="G73" s="29"/>
      <c r="H73" s="29" t="s">
        <v>369</v>
      </c>
      <c r="I73" s="33">
        <f>VLOOKUP(H73,'List Data'!$A$100:$B$104,2,0)</f>
        <v>0</v>
      </c>
      <c r="J73" s="29" t="s">
        <v>213</v>
      </c>
      <c r="K73" s="29" t="s">
        <v>213</v>
      </c>
      <c r="L73" s="29">
        <v>0</v>
      </c>
      <c r="M73" s="37">
        <f>S73*Summary!$H$27</f>
        <v>0</v>
      </c>
      <c r="N73" s="37">
        <f>T73*Summary!$H$25</f>
        <v>0</v>
      </c>
      <c r="O73" s="34">
        <f>(VLOOKUP(C73,'List Data'!A$106:B$109,2,0))*B73</f>
        <v>0</v>
      </c>
      <c r="P73" s="26">
        <f>VLOOKUP(K73,'List Data'!A$2:C$94,3,0)</f>
        <v>0</v>
      </c>
      <c r="Q73" s="26" t="str">
        <f>VLOOKUP(K73,'List Data'!A$2:B$94,2,0)</f>
        <v>--------</v>
      </c>
      <c r="R73" s="26">
        <f t="shared" si="10"/>
        <v>0</v>
      </c>
      <c r="S73" s="26">
        <f t="shared" si="11"/>
        <v>0</v>
      </c>
      <c r="T73" s="26">
        <f t="shared" si="12"/>
        <v>0</v>
      </c>
      <c r="U73" s="26">
        <f>(IF(AND((P73="OP"),(J73="Child (0-7 years)")),VLOOKUP(R73,'OP Values'!$A$1:$Q$35,7),))*I73</f>
        <v>0</v>
      </c>
      <c r="V73" s="26">
        <f>(IF(P73="OP",VLOOKUP($R73,'OP Values'!$A$1:$Q$35,17),))*I73</f>
        <v>0</v>
      </c>
      <c r="W73" s="26">
        <f>(IF(AND((P73="Pb"),(J73="Child (0-7 years)")),(VLOOKUP(R73,Pb!$C$2:$AV$103,11)),0))*I73</f>
        <v>0</v>
      </c>
      <c r="X73" s="26">
        <f>(IF(AND((P73="Pb"),(J73="Child (0-7 years)")),(VLOOKUP(R73,Pb!$C$2:$AV$103,20)),0))*I73</f>
        <v>0</v>
      </c>
      <c r="Y73" s="26">
        <f>(IF(AND((P73="Pb"),(J73="Adult (&gt; 15 years)")),(VLOOKUP(R73,Pb!$C$2:$AV$103,46)),0))*I73</f>
        <v>0</v>
      </c>
      <c r="Z73" s="26">
        <f>(IF(AND((P73="Hg"),(J73="Child (0-7 years)")),(VLOOKUP(R73,'Hg Values'!$A$1:$M$30,3)),0))*I73</f>
        <v>0</v>
      </c>
      <c r="AA73" s="26">
        <f>(IF(AND((P73="Hg"),(J73="Child (0-7 years)")),(VLOOKUP(R73,'Hg Values'!$A$1:$M$30,13)),0))*I73</f>
        <v>0</v>
      </c>
      <c r="AB73" s="5">
        <f>(((IF(AND((P73="CA"),(J73="Adult (&gt; 15 years)")),((R73*1)/70)*(VLOOKUP(K73,CA_ingestion!A$1:J$78,4,0)),0))))/11</f>
        <v>0</v>
      </c>
      <c r="AC73" s="5">
        <f t="shared" si="13"/>
        <v>0</v>
      </c>
      <c r="AD73" s="5">
        <f>((IF(AND((P73="CA"),(J73="Adult (&gt; 15 years)")),(AC73*(VLOOKUP(K73,CA_ingestion!A$1:J$78,10,0))),0)))</f>
        <v>0</v>
      </c>
      <c r="AE73" s="5">
        <f t="shared" si="14"/>
        <v>0</v>
      </c>
      <c r="AF73" s="5">
        <f t="shared" si="15"/>
        <v>0</v>
      </c>
    </row>
    <row r="74" spans="1:32" ht="15.5">
      <c r="A74" s="29"/>
      <c r="B74" s="29">
        <v>0</v>
      </c>
      <c r="C74" s="29" t="s">
        <v>369</v>
      </c>
      <c r="D74" s="29"/>
      <c r="E74" s="29"/>
      <c r="F74" s="26" t="str">
        <f>Summary!C$23</f>
        <v>Afghanistan</v>
      </c>
      <c r="G74" s="29"/>
      <c r="H74" s="29" t="s">
        <v>369</v>
      </c>
      <c r="I74" s="33">
        <f>VLOOKUP(H74,'List Data'!$A$100:$B$104,2,0)</f>
        <v>0</v>
      </c>
      <c r="J74" s="29" t="s">
        <v>213</v>
      </c>
      <c r="K74" s="29" t="s">
        <v>213</v>
      </c>
      <c r="L74" s="29">
        <v>0</v>
      </c>
      <c r="M74" s="37">
        <f>S74*Summary!$H$27</f>
        <v>0</v>
      </c>
      <c r="N74" s="37">
        <f>T74*Summary!$H$25</f>
        <v>0</v>
      </c>
      <c r="O74" s="34">
        <f>(VLOOKUP(C74,'List Data'!A$106:B$109,2,0))*B74</f>
        <v>0</v>
      </c>
      <c r="P74" s="26">
        <f>VLOOKUP(K74,'List Data'!A$2:C$94,3,0)</f>
        <v>0</v>
      </c>
      <c r="Q74" s="26" t="str">
        <f>VLOOKUP(K74,'List Data'!A$2:B$94,2,0)</f>
        <v>--------</v>
      </c>
      <c r="R74" s="26">
        <f t="shared" si="10"/>
        <v>0</v>
      </c>
      <c r="S74" s="26">
        <f t="shared" si="11"/>
        <v>0</v>
      </c>
      <c r="T74" s="26">
        <f t="shared" si="12"/>
        <v>0</v>
      </c>
      <c r="U74" s="26">
        <f>(IF(AND((P74="OP"),(J74="Child (0-7 years)")),VLOOKUP(R74,'OP Values'!$A$1:$Q$35,7),))*I74</f>
        <v>0</v>
      </c>
      <c r="V74" s="26">
        <f>(IF(P74="OP",VLOOKUP($R74,'OP Values'!$A$1:$Q$35,17),))*I74</f>
        <v>0</v>
      </c>
      <c r="W74" s="26">
        <f>(IF(AND((P74="Pb"),(J74="Child (0-7 years)")),(VLOOKUP(R74,Pb!$C$2:$AV$103,11)),0))*I74</f>
        <v>0</v>
      </c>
      <c r="X74" s="26">
        <f>(IF(AND((P74="Pb"),(J74="Child (0-7 years)")),(VLOOKUP(R74,Pb!$C$2:$AV$103,20)),0))*I74</f>
        <v>0</v>
      </c>
      <c r="Y74" s="26">
        <f>(IF(AND((P74="Pb"),(J74="Adult (&gt; 15 years)")),(VLOOKUP(R74,Pb!$C$2:$AV$103,46)),0))*I74</f>
        <v>0</v>
      </c>
      <c r="Z74" s="26">
        <f>(IF(AND((P74="Hg"),(J74="Child (0-7 years)")),(VLOOKUP(R74,'Hg Values'!$A$1:$M$30,3)),0))*I74</f>
        <v>0</v>
      </c>
      <c r="AA74" s="26">
        <f>(IF(AND((P74="Hg"),(J74="Child (0-7 years)")),(VLOOKUP(R74,'Hg Values'!$A$1:$M$30,13)),0))*I74</f>
        <v>0</v>
      </c>
      <c r="AB74" s="5">
        <f>(((IF(AND((P74="CA"),(J74="Adult (&gt; 15 years)")),((R74*1)/70)*(VLOOKUP(K74,CA_ingestion!A$1:J$78,4,0)),0))))/11</f>
        <v>0</v>
      </c>
      <c r="AC74" s="5">
        <f t="shared" si="13"/>
        <v>0</v>
      </c>
      <c r="AD74" s="5">
        <f>((IF(AND((P74="CA"),(J74="Adult (&gt; 15 years)")),(AC74*(VLOOKUP(K74,CA_ingestion!A$1:J$78,10,0))),0)))</f>
        <v>0</v>
      </c>
      <c r="AE74" s="5">
        <f t="shared" si="14"/>
        <v>0</v>
      </c>
      <c r="AF74" s="5">
        <f t="shared" si="15"/>
        <v>0</v>
      </c>
    </row>
    <row r="75" spans="1:32" ht="15.5">
      <c r="A75" s="29"/>
      <c r="B75" s="29">
        <v>0</v>
      </c>
      <c r="C75" s="29" t="s">
        <v>369</v>
      </c>
      <c r="D75" s="29"/>
      <c r="E75" s="29"/>
      <c r="F75" s="26" t="str">
        <f>Summary!C$23</f>
        <v>Afghanistan</v>
      </c>
      <c r="G75" s="29"/>
      <c r="H75" s="29" t="s">
        <v>369</v>
      </c>
      <c r="I75" s="33">
        <f>VLOOKUP(H75,'List Data'!$A$100:$B$104,2,0)</f>
        <v>0</v>
      </c>
      <c r="J75" s="29" t="s">
        <v>213</v>
      </c>
      <c r="K75" s="29" t="s">
        <v>213</v>
      </c>
      <c r="L75" s="29">
        <v>0</v>
      </c>
      <c r="M75" s="37">
        <f>S75*Summary!$H$27</f>
        <v>0</v>
      </c>
      <c r="N75" s="37">
        <f>T75*Summary!$H$25</f>
        <v>0</v>
      </c>
      <c r="O75" s="34">
        <f>(VLOOKUP(C75,'List Data'!A$106:B$109,2,0))*B75</f>
        <v>0</v>
      </c>
      <c r="P75" s="26">
        <f>VLOOKUP(K75,'List Data'!A$2:C$94,3,0)</f>
        <v>0</v>
      </c>
      <c r="Q75" s="26" t="str">
        <f>VLOOKUP(K75,'List Data'!A$2:B$94,2,0)</f>
        <v>--------</v>
      </c>
      <c r="R75" s="26">
        <f t="shared" si="10"/>
        <v>0</v>
      </c>
      <c r="S75" s="26">
        <f t="shared" si="11"/>
        <v>0</v>
      </c>
      <c r="T75" s="26">
        <f t="shared" si="12"/>
        <v>0</v>
      </c>
      <c r="U75" s="26">
        <f>(IF(AND((P75="OP"),(J75="Child (0-7 years)")),VLOOKUP(R75,'OP Values'!$A$1:$Q$35,7),))*I75</f>
        <v>0</v>
      </c>
      <c r="V75" s="26">
        <f>(IF(P75="OP",VLOOKUP($R75,'OP Values'!$A$1:$Q$35,17),))*I75</f>
        <v>0</v>
      </c>
      <c r="W75" s="26">
        <f>(IF(AND((P75="Pb"),(J75="Child (0-7 years)")),(VLOOKUP(R75,Pb!$C$2:$AV$103,11)),0))*I75</f>
        <v>0</v>
      </c>
      <c r="X75" s="26">
        <f>(IF(AND((P75="Pb"),(J75="Child (0-7 years)")),(VLOOKUP(R75,Pb!$C$2:$AV$103,20)),0))*I75</f>
        <v>0</v>
      </c>
      <c r="Y75" s="26">
        <f>(IF(AND((P75="Pb"),(J75="Adult (&gt; 15 years)")),(VLOOKUP(R75,Pb!$C$2:$AV$103,46)),0))*I75</f>
        <v>0</v>
      </c>
      <c r="Z75" s="26">
        <f>(IF(AND((P75="Hg"),(J75="Child (0-7 years)")),(VLOOKUP(R75,'Hg Values'!$A$1:$M$30,3)),0))*I75</f>
        <v>0</v>
      </c>
      <c r="AA75" s="26">
        <f>(IF(AND((P75="Hg"),(J75="Child (0-7 years)")),(VLOOKUP(R75,'Hg Values'!$A$1:$M$30,13)),0))*I75</f>
        <v>0</v>
      </c>
      <c r="AB75" s="5">
        <f>(((IF(AND((P75="CA"),(J75="Adult (&gt; 15 years)")),((R75*1)/70)*(VLOOKUP(K75,CA_ingestion!A$1:J$78,4,0)),0))))/11</f>
        <v>0</v>
      </c>
      <c r="AC75" s="5">
        <f t="shared" si="13"/>
        <v>0</v>
      </c>
      <c r="AD75" s="5">
        <f>((IF(AND((P75="CA"),(J75="Adult (&gt; 15 years)")),(AC75*(VLOOKUP(K75,CA_ingestion!A$1:J$78,10,0))),0)))</f>
        <v>0</v>
      </c>
      <c r="AE75" s="5">
        <f t="shared" si="14"/>
        <v>0</v>
      </c>
      <c r="AF75" s="5">
        <f t="shared" si="15"/>
        <v>0</v>
      </c>
    </row>
    <row r="76" spans="1:32" ht="15.5">
      <c r="A76" s="29"/>
      <c r="B76" s="29">
        <v>0</v>
      </c>
      <c r="C76" s="29" t="s">
        <v>369</v>
      </c>
      <c r="D76" s="29"/>
      <c r="E76" s="29"/>
      <c r="F76" s="26" t="str">
        <f>Summary!C$23</f>
        <v>Afghanistan</v>
      </c>
      <c r="G76" s="29"/>
      <c r="H76" s="29" t="s">
        <v>369</v>
      </c>
      <c r="I76" s="33">
        <f>VLOOKUP(H76,'List Data'!$A$100:$B$104,2,0)</f>
        <v>0</v>
      </c>
      <c r="J76" s="29" t="s">
        <v>213</v>
      </c>
      <c r="K76" s="29" t="s">
        <v>213</v>
      </c>
      <c r="L76" s="29">
        <v>0</v>
      </c>
      <c r="M76" s="37">
        <f>S76*Summary!$H$27</f>
        <v>0</v>
      </c>
      <c r="N76" s="37">
        <f>T76*Summary!$H$25</f>
        <v>0</v>
      </c>
      <c r="O76" s="34">
        <f>(VLOOKUP(C76,'List Data'!A$106:B$109,2,0))*B76</f>
        <v>0</v>
      </c>
      <c r="P76" s="26">
        <f>VLOOKUP(K76,'List Data'!A$2:C$94,3,0)</f>
        <v>0</v>
      </c>
      <c r="Q76" s="26" t="str">
        <f>VLOOKUP(K76,'List Data'!A$2:B$94,2,0)</f>
        <v>--------</v>
      </c>
      <c r="R76" s="26">
        <f t="shared" si="10"/>
        <v>0</v>
      </c>
      <c r="S76" s="26">
        <f t="shared" si="11"/>
        <v>0</v>
      </c>
      <c r="T76" s="26">
        <f t="shared" si="12"/>
        <v>0</v>
      </c>
      <c r="U76" s="26">
        <f>(IF(AND((P76="OP"),(J76="Child (0-7 years)")),VLOOKUP(R76,'OP Values'!$A$1:$Q$35,7),))*I76</f>
        <v>0</v>
      </c>
      <c r="V76" s="26">
        <f>(IF(P76="OP",VLOOKUP($R76,'OP Values'!$A$1:$Q$35,17),))*I76</f>
        <v>0</v>
      </c>
      <c r="W76" s="26">
        <f>(IF(AND((P76="Pb"),(J76="Child (0-7 years)")),(VLOOKUP(R76,Pb!$C$2:$AV$103,11)),0))*I76</f>
        <v>0</v>
      </c>
      <c r="X76" s="26">
        <f>(IF(AND((P76="Pb"),(J76="Child (0-7 years)")),(VLOOKUP(R76,Pb!$C$2:$AV$103,20)),0))*I76</f>
        <v>0</v>
      </c>
      <c r="Y76" s="26">
        <f>(IF(AND((P76="Pb"),(J76="Adult (&gt; 15 years)")),(VLOOKUP(R76,Pb!$C$2:$AV$103,46)),0))*I76</f>
        <v>0</v>
      </c>
      <c r="Z76" s="26">
        <f>(IF(AND((P76="Hg"),(J76="Child (0-7 years)")),(VLOOKUP(R76,'Hg Values'!$A$1:$M$30,3)),0))*I76</f>
        <v>0</v>
      </c>
      <c r="AA76" s="26">
        <f>(IF(AND((P76="Hg"),(J76="Child (0-7 years)")),(VLOOKUP(R76,'Hg Values'!$A$1:$M$30,13)),0))*I76</f>
        <v>0</v>
      </c>
      <c r="AB76" s="5">
        <f>(((IF(AND((P76="CA"),(J76="Adult (&gt; 15 years)")),((R76*1)/70)*(VLOOKUP(K76,CA_ingestion!A$1:J$78,4,0)),0))))/11</f>
        <v>0</v>
      </c>
      <c r="AC76" s="5">
        <f t="shared" si="13"/>
        <v>0</v>
      </c>
      <c r="AD76" s="5">
        <f>((IF(AND((P76="CA"),(J76="Adult (&gt; 15 years)")),(AC76*(VLOOKUP(K76,CA_ingestion!A$1:J$78,10,0))),0)))</f>
        <v>0</v>
      </c>
      <c r="AE76" s="5">
        <f t="shared" si="14"/>
        <v>0</v>
      </c>
      <c r="AF76" s="5">
        <f t="shared" si="15"/>
        <v>0</v>
      </c>
    </row>
    <row r="77" spans="1:32" ht="15.5">
      <c r="A77" s="29"/>
      <c r="B77" s="29">
        <v>0</v>
      </c>
      <c r="C77" s="29" t="s">
        <v>369</v>
      </c>
      <c r="D77" s="29"/>
      <c r="E77" s="29"/>
      <c r="F77" s="26" t="str">
        <f>Summary!C$23</f>
        <v>Afghanistan</v>
      </c>
      <c r="G77" s="29"/>
      <c r="H77" s="29" t="s">
        <v>369</v>
      </c>
      <c r="I77" s="33">
        <f>VLOOKUP(H77,'List Data'!$A$100:$B$104,2,0)</f>
        <v>0</v>
      </c>
      <c r="J77" s="29" t="s">
        <v>213</v>
      </c>
      <c r="K77" s="29" t="s">
        <v>213</v>
      </c>
      <c r="L77" s="29">
        <v>0</v>
      </c>
      <c r="M77" s="37">
        <f>S77*Summary!$H$27</f>
        <v>0</v>
      </c>
      <c r="N77" s="37">
        <f>T77*Summary!$H$25</f>
        <v>0</v>
      </c>
      <c r="O77" s="34">
        <f>(VLOOKUP(C77,'List Data'!A$106:B$109,2,0))*B77</f>
        <v>0</v>
      </c>
      <c r="P77" s="26">
        <f>VLOOKUP(K77,'List Data'!A$2:C$94,3,0)</f>
        <v>0</v>
      </c>
      <c r="Q77" s="26" t="str">
        <f>VLOOKUP(K77,'List Data'!A$2:B$94,2,0)</f>
        <v>--------</v>
      </c>
      <c r="R77" s="26">
        <f t="shared" si="10"/>
        <v>0</v>
      </c>
      <c r="S77" s="26">
        <f t="shared" si="11"/>
        <v>0</v>
      </c>
      <c r="T77" s="26">
        <f t="shared" si="12"/>
        <v>0</v>
      </c>
      <c r="U77" s="26">
        <f>(IF(AND((P77="OP"),(J77="Child (0-7 years)")),VLOOKUP(R77,'OP Values'!$A$1:$Q$35,7),))*I77</f>
        <v>0</v>
      </c>
      <c r="V77" s="26">
        <f>(IF(P77="OP",VLOOKUP($R77,'OP Values'!$A$1:$Q$35,17),))*I77</f>
        <v>0</v>
      </c>
      <c r="W77" s="26">
        <f>(IF(AND((P77="Pb"),(J77="Child (0-7 years)")),(VLOOKUP(R77,Pb!$C$2:$AV$103,11)),0))*I77</f>
        <v>0</v>
      </c>
      <c r="X77" s="26">
        <f>(IF(AND((P77="Pb"),(J77="Child (0-7 years)")),(VLOOKUP(R77,Pb!$C$2:$AV$103,20)),0))*I77</f>
        <v>0</v>
      </c>
      <c r="Y77" s="26">
        <f>(IF(AND((P77="Pb"),(J77="Adult (&gt; 15 years)")),(VLOOKUP(R77,Pb!$C$2:$AV$103,46)),0))*I77</f>
        <v>0</v>
      </c>
      <c r="Z77" s="26">
        <f>(IF(AND((P77="Hg"),(J77="Child (0-7 years)")),(VLOOKUP(R77,'Hg Values'!$A$1:$M$30,3)),0))*I77</f>
        <v>0</v>
      </c>
      <c r="AA77" s="26">
        <f>(IF(AND((P77="Hg"),(J77="Child (0-7 years)")),(VLOOKUP(R77,'Hg Values'!$A$1:$M$30,13)),0))*I77</f>
        <v>0</v>
      </c>
      <c r="AB77" s="5">
        <f>(((IF(AND((P77="CA"),(J77="Adult (&gt; 15 years)")),((R77*1)/70)*(VLOOKUP(K77,CA_ingestion!A$1:J$78,4,0)),0))))/11</f>
        <v>0</v>
      </c>
      <c r="AC77" s="5">
        <f t="shared" si="13"/>
        <v>0</v>
      </c>
      <c r="AD77" s="5">
        <f>((IF(AND((P77="CA"),(J77="Adult (&gt; 15 years)")),(AC77*(VLOOKUP(K77,CA_ingestion!A$1:J$78,10,0))),0)))</f>
        <v>0</v>
      </c>
      <c r="AE77" s="5">
        <f t="shared" si="14"/>
        <v>0</v>
      </c>
      <c r="AF77" s="5">
        <f t="shared" si="15"/>
        <v>0</v>
      </c>
    </row>
    <row r="78" spans="1:32" ht="15.5">
      <c r="A78" s="29"/>
      <c r="B78" s="29">
        <v>0</v>
      </c>
      <c r="C78" s="29" t="s">
        <v>369</v>
      </c>
      <c r="D78" s="29"/>
      <c r="E78" s="29"/>
      <c r="F78" s="26" t="str">
        <f>Summary!C$23</f>
        <v>Afghanistan</v>
      </c>
      <c r="G78" s="29"/>
      <c r="H78" s="29" t="s">
        <v>369</v>
      </c>
      <c r="I78" s="33">
        <f>VLOOKUP(H78,'List Data'!$A$100:$B$104,2,0)</f>
        <v>0</v>
      </c>
      <c r="J78" s="29" t="s">
        <v>213</v>
      </c>
      <c r="K78" s="29" t="s">
        <v>213</v>
      </c>
      <c r="L78" s="29">
        <v>0</v>
      </c>
      <c r="M78" s="37">
        <f>S78*Summary!$H$27</f>
        <v>0</v>
      </c>
      <c r="N78" s="37">
        <f>T78*Summary!$H$25</f>
        <v>0</v>
      </c>
      <c r="O78" s="34">
        <f>(VLOOKUP(C78,'List Data'!A$106:B$109,2,0))*B78</f>
        <v>0</v>
      </c>
      <c r="P78" s="26">
        <f>VLOOKUP(K78,'List Data'!A$2:C$94,3,0)</f>
        <v>0</v>
      </c>
      <c r="Q78" s="26" t="str">
        <f>VLOOKUP(K78,'List Data'!A$2:B$94,2,0)</f>
        <v>--------</v>
      </c>
      <c r="R78" s="26">
        <f t="shared" si="10"/>
        <v>0</v>
      </c>
      <c r="S78" s="26">
        <f t="shared" si="11"/>
        <v>0</v>
      </c>
      <c r="T78" s="26">
        <f t="shared" si="12"/>
        <v>0</v>
      </c>
      <c r="U78" s="26">
        <f>(IF(AND((P78="OP"),(J78="Child (0-7 years)")),VLOOKUP(R78,'OP Values'!$A$1:$Q$35,7),))*I78</f>
        <v>0</v>
      </c>
      <c r="V78" s="26">
        <f>(IF(P78="OP",VLOOKUP($R78,'OP Values'!$A$1:$Q$35,17),))*I78</f>
        <v>0</v>
      </c>
      <c r="W78" s="26">
        <f>(IF(AND((P78="Pb"),(J78="Child (0-7 years)")),(VLOOKUP(R78,Pb!$C$2:$AV$103,11)),0))*I78</f>
        <v>0</v>
      </c>
      <c r="X78" s="26">
        <f>(IF(AND((P78="Pb"),(J78="Child (0-7 years)")),(VLOOKUP(R78,Pb!$C$2:$AV$103,20)),0))*I78</f>
        <v>0</v>
      </c>
      <c r="Y78" s="26">
        <f>(IF(AND((P78="Pb"),(J78="Adult (&gt; 15 years)")),(VLOOKUP(R78,Pb!$C$2:$AV$103,46)),0))*I78</f>
        <v>0</v>
      </c>
      <c r="Z78" s="26">
        <f>(IF(AND((P78="Hg"),(J78="Child (0-7 years)")),(VLOOKUP(R78,'Hg Values'!$A$1:$M$30,3)),0))*I78</f>
        <v>0</v>
      </c>
      <c r="AA78" s="26">
        <f>(IF(AND((P78="Hg"),(J78="Child (0-7 years)")),(VLOOKUP(R78,'Hg Values'!$A$1:$M$30,13)),0))*I78</f>
        <v>0</v>
      </c>
      <c r="AB78" s="5">
        <f>(((IF(AND((P78="CA"),(J78="Adult (&gt; 15 years)")),((R78*1)/70)*(VLOOKUP(K78,CA_ingestion!A$1:J$78,4,0)),0))))/11</f>
        <v>0</v>
      </c>
      <c r="AC78" s="5">
        <f t="shared" si="13"/>
        <v>0</v>
      </c>
      <c r="AD78" s="5">
        <f>((IF(AND((P78="CA"),(J78="Adult (&gt; 15 years)")),(AC78*(VLOOKUP(K78,CA_ingestion!A$1:J$78,10,0))),0)))</f>
        <v>0</v>
      </c>
      <c r="AE78" s="5">
        <f t="shared" si="14"/>
        <v>0</v>
      </c>
      <c r="AF78" s="5">
        <f t="shared" si="15"/>
        <v>0</v>
      </c>
    </row>
    <row r="79" spans="1:32" ht="15.5">
      <c r="A79" s="29"/>
      <c r="B79" s="29">
        <v>0</v>
      </c>
      <c r="C79" s="29" t="s">
        <v>369</v>
      </c>
      <c r="D79" s="29"/>
      <c r="E79" s="29"/>
      <c r="F79" s="26" t="str">
        <f>Summary!C$23</f>
        <v>Afghanistan</v>
      </c>
      <c r="G79" s="29"/>
      <c r="H79" s="29" t="s">
        <v>369</v>
      </c>
      <c r="I79" s="33">
        <f>VLOOKUP(H79,'List Data'!$A$100:$B$104,2,0)</f>
        <v>0</v>
      </c>
      <c r="J79" s="29" t="s">
        <v>213</v>
      </c>
      <c r="K79" s="29" t="s">
        <v>213</v>
      </c>
      <c r="L79" s="29">
        <v>0</v>
      </c>
      <c r="M79" s="37">
        <f>S79*Summary!$H$27</f>
        <v>0</v>
      </c>
      <c r="N79" s="37">
        <f>T79*Summary!$H$25</f>
        <v>0</v>
      </c>
      <c r="O79" s="34">
        <f>(VLOOKUP(C79,'List Data'!A$106:B$109,2,0))*B79</f>
        <v>0</v>
      </c>
      <c r="P79" s="26">
        <f>VLOOKUP(K79,'List Data'!A$2:C$94,3,0)</f>
        <v>0</v>
      </c>
      <c r="Q79" s="26" t="str">
        <f>VLOOKUP(K79,'List Data'!A$2:B$94,2,0)</f>
        <v>--------</v>
      </c>
      <c r="R79" s="26">
        <f t="shared" si="10"/>
        <v>0</v>
      </c>
      <c r="S79" s="26">
        <f t="shared" si="11"/>
        <v>0</v>
      </c>
      <c r="T79" s="26">
        <f t="shared" si="12"/>
        <v>0</v>
      </c>
      <c r="U79" s="26">
        <f>(IF(AND((P79="OP"),(J79="Child (0-7 years)")),VLOOKUP(R79,'OP Values'!$A$1:$Q$35,7),))*I79</f>
        <v>0</v>
      </c>
      <c r="V79" s="26">
        <f>(IF(P79="OP",VLOOKUP($R79,'OP Values'!$A$1:$Q$35,17),))*I79</f>
        <v>0</v>
      </c>
      <c r="W79" s="26">
        <f>(IF(AND((P79="Pb"),(J79="Child (0-7 years)")),(VLOOKUP(R79,Pb!$C$2:$AV$103,11)),0))*I79</f>
        <v>0</v>
      </c>
      <c r="X79" s="26">
        <f>(IF(AND((P79="Pb"),(J79="Child (0-7 years)")),(VLOOKUP(R79,Pb!$C$2:$AV$103,20)),0))*I79</f>
        <v>0</v>
      </c>
      <c r="Y79" s="26">
        <f>(IF(AND((P79="Pb"),(J79="Adult (&gt; 15 years)")),(VLOOKUP(R79,Pb!$C$2:$AV$103,46)),0))*I79</f>
        <v>0</v>
      </c>
      <c r="Z79" s="26">
        <f>(IF(AND((P79="Hg"),(J79="Child (0-7 years)")),(VLOOKUP(R79,'Hg Values'!$A$1:$M$30,3)),0))*I79</f>
        <v>0</v>
      </c>
      <c r="AA79" s="26">
        <f>(IF(AND((P79="Hg"),(J79="Child (0-7 years)")),(VLOOKUP(R79,'Hg Values'!$A$1:$M$30,13)),0))*I79</f>
        <v>0</v>
      </c>
      <c r="AB79" s="5">
        <f>(((IF(AND((P79="CA"),(J79="Adult (&gt; 15 years)")),((R79*1)/70)*(VLOOKUP(K79,CA_ingestion!A$1:J$78,4,0)),0))))/11</f>
        <v>0</v>
      </c>
      <c r="AC79" s="5">
        <f t="shared" si="13"/>
        <v>0</v>
      </c>
      <c r="AD79" s="5">
        <f>((IF(AND((P79="CA"),(J79="Adult (&gt; 15 years)")),(AC79*(VLOOKUP(K79,CA_ingestion!A$1:J$78,10,0))),0)))</f>
        <v>0</v>
      </c>
      <c r="AE79" s="5">
        <f t="shared" si="14"/>
        <v>0</v>
      </c>
      <c r="AF79" s="5">
        <f t="shared" si="15"/>
        <v>0</v>
      </c>
    </row>
    <row r="80" spans="1:32" ht="15.5">
      <c r="A80" s="29"/>
      <c r="B80" s="29">
        <v>0</v>
      </c>
      <c r="C80" s="29" t="s">
        <v>369</v>
      </c>
      <c r="D80" s="29"/>
      <c r="E80" s="29"/>
      <c r="F80" s="26" t="str">
        <f>Summary!C$23</f>
        <v>Afghanistan</v>
      </c>
      <c r="G80" s="29"/>
      <c r="H80" s="29" t="s">
        <v>369</v>
      </c>
      <c r="I80" s="33">
        <f>VLOOKUP(H80,'List Data'!$A$100:$B$104,2,0)</f>
        <v>0</v>
      </c>
      <c r="J80" s="29" t="s">
        <v>213</v>
      </c>
      <c r="K80" s="29" t="s">
        <v>213</v>
      </c>
      <c r="L80" s="29">
        <v>0</v>
      </c>
      <c r="M80" s="37">
        <f>S80*Summary!$H$27</f>
        <v>0</v>
      </c>
      <c r="N80" s="37">
        <f>T80*Summary!$H$25</f>
        <v>0</v>
      </c>
      <c r="O80" s="34">
        <f>(VLOOKUP(C80,'List Data'!A$106:B$109,2,0))*B80</f>
        <v>0</v>
      </c>
      <c r="P80" s="26">
        <f>VLOOKUP(K80,'List Data'!A$2:C$94,3,0)</f>
        <v>0</v>
      </c>
      <c r="Q80" s="26" t="str">
        <f>VLOOKUP(K80,'List Data'!A$2:B$94,2,0)</f>
        <v>--------</v>
      </c>
      <c r="R80" s="26">
        <f t="shared" si="10"/>
        <v>0</v>
      </c>
      <c r="S80" s="26">
        <f t="shared" si="11"/>
        <v>0</v>
      </c>
      <c r="T80" s="26">
        <f t="shared" si="12"/>
        <v>0</v>
      </c>
      <c r="U80" s="26">
        <f>(IF(AND((P80="OP"),(J80="Child (0-7 years)")),VLOOKUP(R80,'OP Values'!$A$1:$Q$35,7),))*I80</f>
        <v>0</v>
      </c>
      <c r="V80" s="26">
        <f>(IF(P80="OP",VLOOKUP($R80,'OP Values'!$A$1:$Q$35,17),))*I80</f>
        <v>0</v>
      </c>
      <c r="W80" s="26">
        <f>(IF(AND((P80="Pb"),(J80="Child (0-7 years)")),(VLOOKUP(R80,Pb!$C$2:$AV$103,11)),0))*I80</f>
        <v>0</v>
      </c>
      <c r="X80" s="26">
        <f>(IF(AND((P80="Pb"),(J80="Child (0-7 years)")),(VLOOKUP(R80,Pb!$C$2:$AV$103,20)),0))*I80</f>
        <v>0</v>
      </c>
      <c r="Y80" s="26">
        <f>(IF(AND((P80="Pb"),(J80="Adult (&gt; 15 years)")),(VLOOKUP(R80,Pb!$C$2:$AV$103,46)),0))*I80</f>
        <v>0</v>
      </c>
      <c r="Z80" s="26">
        <f>(IF(AND((P80="Hg"),(J80="Child (0-7 years)")),(VLOOKUP(R80,'Hg Values'!$A$1:$M$30,3)),0))*I80</f>
        <v>0</v>
      </c>
      <c r="AA80" s="26">
        <f>(IF(AND((P80="Hg"),(J80="Child (0-7 years)")),(VLOOKUP(R80,'Hg Values'!$A$1:$M$30,13)),0))*I80</f>
        <v>0</v>
      </c>
      <c r="AB80" s="5">
        <f>(((IF(AND((P80="CA"),(J80="Adult (&gt; 15 years)")),((R80*1)/70)*(VLOOKUP(K80,CA_ingestion!A$1:J$78,4,0)),0))))/11</f>
        <v>0</v>
      </c>
      <c r="AC80" s="5">
        <f t="shared" si="13"/>
        <v>0</v>
      </c>
      <c r="AD80" s="5">
        <f>((IF(AND((P80="CA"),(J80="Adult (&gt; 15 years)")),(AC80*(VLOOKUP(K80,CA_ingestion!A$1:J$78,10,0))),0)))</f>
        <v>0</v>
      </c>
      <c r="AE80" s="5">
        <f t="shared" si="14"/>
        <v>0</v>
      </c>
      <c r="AF80" s="5">
        <f t="shared" si="15"/>
        <v>0</v>
      </c>
    </row>
    <row r="81" spans="1:32" ht="15.5">
      <c r="A81" s="29"/>
      <c r="B81" s="29">
        <v>0</v>
      </c>
      <c r="C81" s="29" t="s">
        <v>369</v>
      </c>
      <c r="D81" s="29"/>
      <c r="E81" s="29"/>
      <c r="F81" s="26" t="str">
        <f>Summary!C$23</f>
        <v>Afghanistan</v>
      </c>
      <c r="G81" s="29"/>
      <c r="H81" s="29" t="s">
        <v>369</v>
      </c>
      <c r="I81" s="33">
        <f>VLOOKUP(H81,'List Data'!$A$100:$B$104,2,0)</f>
        <v>0</v>
      </c>
      <c r="J81" s="29" t="s">
        <v>213</v>
      </c>
      <c r="K81" s="29" t="s">
        <v>213</v>
      </c>
      <c r="L81" s="29">
        <v>0</v>
      </c>
      <c r="M81" s="37">
        <f>S81*Summary!$H$27</f>
        <v>0</v>
      </c>
      <c r="N81" s="37">
        <f>T81*Summary!$H$25</f>
        <v>0</v>
      </c>
      <c r="O81" s="34">
        <f>(VLOOKUP(C81,'List Data'!A$106:B$109,2,0))*B81</f>
        <v>0</v>
      </c>
      <c r="P81" s="26">
        <f>VLOOKUP(K81,'List Data'!A$2:C$94,3,0)</f>
        <v>0</v>
      </c>
      <c r="Q81" s="26" t="str">
        <f>VLOOKUP(K81,'List Data'!A$2:B$94,2,0)</f>
        <v>--------</v>
      </c>
      <c r="R81" s="26">
        <f t="shared" si="10"/>
        <v>0</v>
      </c>
      <c r="S81" s="26">
        <f t="shared" si="11"/>
        <v>0</v>
      </c>
      <c r="T81" s="26">
        <f t="shared" si="12"/>
        <v>0</v>
      </c>
      <c r="U81" s="26">
        <f>(IF(AND((P81="OP"),(J81="Child (0-7 years)")),VLOOKUP(R81,'OP Values'!$A$1:$Q$35,7),))*I81</f>
        <v>0</v>
      </c>
      <c r="V81" s="26">
        <f>(IF(P81="OP",VLOOKUP($R81,'OP Values'!$A$1:$Q$35,17),))*I81</f>
        <v>0</v>
      </c>
      <c r="W81" s="26">
        <f>(IF(AND((P81="Pb"),(J81="Child (0-7 years)")),(VLOOKUP(R81,Pb!$C$2:$AV$103,11)),0))*I81</f>
        <v>0</v>
      </c>
      <c r="X81" s="26">
        <f>(IF(AND((P81="Pb"),(J81="Child (0-7 years)")),(VLOOKUP(R81,Pb!$C$2:$AV$103,20)),0))*I81</f>
        <v>0</v>
      </c>
      <c r="Y81" s="26">
        <f>(IF(AND((P81="Pb"),(J81="Adult (&gt; 15 years)")),(VLOOKUP(R81,Pb!$C$2:$AV$103,46)),0))*I81</f>
        <v>0</v>
      </c>
      <c r="Z81" s="26">
        <f>(IF(AND((P81="Hg"),(J81="Child (0-7 years)")),(VLOOKUP(R81,'Hg Values'!$A$1:$M$30,3)),0))*I81</f>
        <v>0</v>
      </c>
      <c r="AA81" s="26">
        <f>(IF(AND((P81="Hg"),(J81="Child (0-7 years)")),(VLOOKUP(R81,'Hg Values'!$A$1:$M$30,13)),0))*I81</f>
        <v>0</v>
      </c>
      <c r="AB81" s="5">
        <f>(((IF(AND((P81="CA"),(J81="Adult (&gt; 15 years)")),((R81*1)/70)*(VLOOKUP(K81,CA_ingestion!A$1:J$78,4,0)),0))))/11</f>
        <v>0</v>
      </c>
      <c r="AC81" s="5">
        <f t="shared" si="13"/>
        <v>0</v>
      </c>
      <c r="AD81" s="5">
        <f>((IF(AND((P81="CA"),(J81="Adult (&gt; 15 years)")),(AC81*(VLOOKUP(K81,CA_ingestion!A$1:J$78,10,0))),0)))</f>
        <v>0</v>
      </c>
      <c r="AE81" s="5">
        <f t="shared" si="14"/>
        <v>0</v>
      </c>
      <c r="AF81" s="5">
        <f t="shared" si="15"/>
        <v>0</v>
      </c>
    </row>
    <row r="82" spans="1:32" ht="15.5">
      <c r="A82" s="29"/>
      <c r="B82" s="29">
        <v>0</v>
      </c>
      <c r="C82" s="29" t="s">
        <v>369</v>
      </c>
      <c r="D82" s="29"/>
      <c r="E82" s="29"/>
      <c r="F82" s="26" t="str">
        <f>Summary!C$23</f>
        <v>Afghanistan</v>
      </c>
      <c r="G82" s="29"/>
      <c r="H82" s="29" t="s">
        <v>369</v>
      </c>
      <c r="I82" s="33">
        <f>VLOOKUP(H82,'List Data'!$A$100:$B$104,2,0)</f>
        <v>0</v>
      </c>
      <c r="J82" s="29" t="s">
        <v>213</v>
      </c>
      <c r="K82" s="29" t="s">
        <v>213</v>
      </c>
      <c r="L82" s="29">
        <v>0</v>
      </c>
      <c r="M82" s="37">
        <f>S82*Summary!$H$27</f>
        <v>0</v>
      </c>
      <c r="N82" s="37">
        <f>T82*Summary!$H$25</f>
        <v>0</v>
      </c>
      <c r="O82" s="34">
        <f>(VLOOKUP(C82,'List Data'!A$106:B$109,2,0))*B82</f>
        <v>0</v>
      </c>
      <c r="P82" s="26">
        <f>VLOOKUP(K82,'List Data'!A$2:C$94,3,0)</f>
        <v>0</v>
      </c>
      <c r="Q82" s="26" t="str">
        <f>VLOOKUP(K82,'List Data'!A$2:B$94,2,0)</f>
        <v>--------</v>
      </c>
      <c r="R82" s="26">
        <f t="shared" si="10"/>
        <v>0</v>
      </c>
      <c r="S82" s="26">
        <f t="shared" si="11"/>
        <v>0</v>
      </c>
      <c r="T82" s="26">
        <f t="shared" si="12"/>
        <v>0</v>
      </c>
      <c r="U82" s="26">
        <f>(IF(AND((P82="OP"),(J82="Child (0-7 years)")),VLOOKUP(R82,'OP Values'!$A$1:$Q$35,7),))*I82</f>
        <v>0</v>
      </c>
      <c r="V82" s="26">
        <f>(IF(P82="OP",VLOOKUP($R82,'OP Values'!$A$1:$Q$35,17),))*I82</f>
        <v>0</v>
      </c>
      <c r="W82" s="26">
        <f>(IF(AND((P82="Pb"),(J82="Child (0-7 years)")),(VLOOKUP(R82,Pb!$C$2:$AV$103,11)),0))*I82</f>
        <v>0</v>
      </c>
      <c r="X82" s="26">
        <f>(IF(AND((P82="Pb"),(J82="Child (0-7 years)")),(VLOOKUP(R82,Pb!$C$2:$AV$103,20)),0))*I82</f>
        <v>0</v>
      </c>
      <c r="Y82" s="26">
        <f>(IF(AND((P82="Pb"),(J82="Adult (&gt; 15 years)")),(VLOOKUP(R82,Pb!$C$2:$AV$103,46)),0))*I82</f>
        <v>0</v>
      </c>
      <c r="Z82" s="26">
        <f>(IF(AND((P82="Hg"),(J82="Child (0-7 years)")),(VLOOKUP(R82,'Hg Values'!$A$1:$M$30,3)),0))*I82</f>
        <v>0</v>
      </c>
      <c r="AA82" s="26">
        <f>(IF(AND((P82="Hg"),(J82="Child (0-7 years)")),(VLOOKUP(R82,'Hg Values'!$A$1:$M$30,13)),0))*I82</f>
        <v>0</v>
      </c>
      <c r="AB82" s="5">
        <f>(((IF(AND((P82="CA"),(J82="Adult (&gt; 15 years)")),((R82*1)/70)*(VLOOKUP(K82,CA_ingestion!A$1:J$78,4,0)),0))))/11</f>
        <v>0</v>
      </c>
      <c r="AC82" s="5">
        <f t="shared" si="13"/>
        <v>0</v>
      </c>
      <c r="AD82" s="5">
        <f>((IF(AND((P82="CA"),(J82="Adult (&gt; 15 years)")),(AC82*(VLOOKUP(K82,CA_ingestion!A$1:J$78,10,0))),0)))</f>
        <v>0</v>
      </c>
      <c r="AE82" s="5">
        <f t="shared" si="14"/>
        <v>0</v>
      </c>
      <c r="AF82" s="5">
        <f t="shared" si="15"/>
        <v>0</v>
      </c>
    </row>
    <row r="83" spans="1:32" ht="15.5">
      <c r="A83" s="29"/>
      <c r="B83" s="29">
        <v>0</v>
      </c>
      <c r="C83" s="29" t="s">
        <v>369</v>
      </c>
      <c r="D83" s="29"/>
      <c r="E83" s="29"/>
      <c r="F83" s="26" t="str">
        <f>Summary!C$23</f>
        <v>Afghanistan</v>
      </c>
      <c r="G83" s="29"/>
      <c r="H83" s="29" t="s">
        <v>369</v>
      </c>
      <c r="I83" s="33">
        <f>VLOOKUP(H83,'List Data'!$A$100:$B$104,2,0)</f>
        <v>0</v>
      </c>
      <c r="J83" s="29" t="s">
        <v>213</v>
      </c>
      <c r="K83" s="29" t="s">
        <v>213</v>
      </c>
      <c r="L83" s="29">
        <v>0</v>
      </c>
      <c r="M83" s="37">
        <f>S83*Summary!$H$27</f>
        <v>0</v>
      </c>
      <c r="N83" s="37">
        <f>T83*Summary!$H$25</f>
        <v>0</v>
      </c>
      <c r="O83" s="34">
        <f>(VLOOKUP(C83,'List Data'!A$106:B$109,2,0))*B83</f>
        <v>0</v>
      </c>
      <c r="P83" s="26">
        <f>VLOOKUP(K83,'List Data'!A$2:C$94,3,0)</f>
        <v>0</v>
      </c>
      <c r="Q83" s="26" t="str">
        <f>VLOOKUP(K83,'List Data'!A$2:B$94,2,0)</f>
        <v>--------</v>
      </c>
      <c r="R83" s="26">
        <f t="shared" si="10"/>
        <v>0</v>
      </c>
      <c r="S83" s="26">
        <f t="shared" si="11"/>
        <v>0</v>
      </c>
      <c r="T83" s="26">
        <f t="shared" si="12"/>
        <v>0</v>
      </c>
      <c r="U83" s="26">
        <f>(IF(AND((P83="OP"),(J83="Child (0-7 years)")),VLOOKUP(R83,'OP Values'!$A$1:$Q$35,7),))*I83</f>
        <v>0</v>
      </c>
      <c r="V83" s="26">
        <f>(IF(P83="OP",VLOOKUP($R83,'OP Values'!$A$1:$Q$35,17),))*I83</f>
        <v>0</v>
      </c>
      <c r="W83" s="26">
        <f>(IF(AND((P83="Pb"),(J83="Child (0-7 years)")),(VLOOKUP(R83,Pb!$C$2:$AV$103,11)),0))*I83</f>
        <v>0</v>
      </c>
      <c r="X83" s="26">
        <f>(IF(AND((P83="Pb"),(J83="Child (0-7 years)")),(VLOOKUP(R83,Pb!$C$2:$AV$103,20)),0))*I83</f>
        <v>0</v>
      </c>
      <c r="Y83" s="26">
        <f>(IF(AND((P83="Pb"),(J83="Adult (&gt; 15 years)")),(VLOOKUP(R83,Pb!$C$2:$AV$103,46)),0))*I83</f>
        <v>0</v>
      </c>
      <c r="Z83" s="26">
        <f>(IF(AND((P83="Hg"),(J83="Child (0-7 years)")),(VLOOKUP(R83,'Hg Values'!$A$1:$M$30,3)),0))*I83</f>
        <v>0</v>
      </c>
      <c r="AA83" s="26">
        <f>(IF(AND((P83="Hg"),(J83="Child (0-7 years)")),(VLOOKUP(R83,'Hg Values'!$A$1:$M$30,13)),0))*I83</f>
        <v>0</v>
      </c>
      <c r="AB83" s="5">
        <f>(((IF(AND((P83="CA"),(J83="Adult (&gt; 15 years)")),((R83*1)/70)*(VLOOKUP(K83,CA_ingestion!A$1:J$78,4,0)),0))))/11</f>
        <v>0</v>
      </c>
      <c r="AC83" s="5">
        <f t="shared" si="13"/>
        <v>0</v>
      </c>
      <c r="AD83" s="5">
        <f>((IF(AND((P83="CA"),(J83="Adult (&gt; 15 years)")),(AC83*(VLOOKUP(K83,CA_ingestion!A$1:J$78,10,0))),0)))</f>
        <v>0</v>
      </c>
      <c r="AE83" s="5">
        <f t="shared" si="14"/>
        <v>0</v>
      </c>
      <c r="AF83" s="5">
        <f t="shared" si="15"/>
        <v>0</v>
      </c>
    </row>
    <row r="84" spans="1:32" ht="15.5">
      <c r="A84" s="29"/>
      <c r="B84" s="29">
        <v>0</v>
      </c>
      <c r="C84" s="29" t="s">
        <v>369</v>
      </c>
      <c r="D84" s="29"/>
      <c r="E84" s="29"/>
      <c r="F84" s="26" t="str">
        <f>Summary!C$23</f>
        <v>Afghanistan</v>
      </c>
      <c r="G84" s="29"/>
      <c r="H84" s="29" t="s">
        <v>369</v>
      </c>
      <c r="I84" s="33">
        <f>VLOOKUP(H84,'List Data'!$A$100:$B$104,2,0)</f>
        <v>0</v>
      </c>
      <c r="J84" s="29" t="s">
        <v>213</v>
      </c>
      <c r="K84" s="29" t="s">
        <v>213</v>
      </c>
      <c r="L84" s="29">
        <v>0</v>
      </c>
      <c r="M84" s="37">
        <f>S84*Summary!$H$27</f>
        <v>0</v>
      </c>
      <c r="N84" s="37">
        <f>T84*Summary!$H$25</f>
        <v>0</v>
      </c>
      <c r="O84" s="34">
        <f>(VLOOKUP(C84,'List Data'!A$106:B$109,2,0))*B84</f>
        <v>0</v>
      </c>
      <c r="P84" s="26">
        <f>VLOOKUP(K84,'List Data'!A$2:C$94,3,0)</f>
        <v>0</v>
      </c>
      <c r="Q84" s="26" t="str">
        <f>VLOOKUP(K84,'List Data'!A$2:B$94,2,0)</f>
        <v>--------</v>
      </c>
      <c r="R84" s="26">
        <f t="shared" si="10"/>
        <v>0</v>
      </c>
      <c r="S84" s="26">
        <f t="shared" si="11"/>
        <v>0</v>
      </c>
      <c r="T84" s="26">
        <f t="shared" si="12"/>
        <v>0</v>
      </c>
      <c r="U84" s="26">
        <f>(IF(AND((P84="OP"),(J84="Child (0-7 years)")),VLOOKUP(R84,'OP Values'!$A$1:$Q$35,7),))*I84</f>
        <v>0</v>
      </c>
      <c r="V84" s="26">
        <f>(IF(P84="OP",VLOOKUP($R84,'OP Values'!$A$1:$Q$35,17),))*I84</f>
        <v>0</v>
      </c>
      <c r="W84" s="26">
        <f>(IF(AND((P84="Pb"),(J84="Child (0-7 years)")),(VLOOKUP(R84,Pb!$C$2:$AV$103,11)),0))*I84</f>
        <v>0</v>
      </c>
      <c r="X84" s="26">
        <f>(IF(AND((P84="Pb"),(J84="Child (0-7 years)")),(VLOOKUP(R84,Pb!$C$2:$AV$103,20)),0))*I84</f>
        <v>0</v>
      </c>
      <c r="Y84" s="26">
        <f>(IF(AND((P84="Pb"),(J84="Adult (&gt; 15 years)")),(VLOOKUP(R84,Pb!$C$2:$AV$103,46)),0))*I84</f>
        <v>0</v>
      </c>
      <c r="Z84" s="26">
        <f>(IF(AND((P84="Hg"),(J84="Child (0-7 years)")),(VLOOKUP(R84,'Hg Values'!$A$1:$M$30,3)),0))*I84</f>
        <v>0</v>
      </c>
      <c r="AA84" s="26">
        <f>(IF(AND((P84="Hg"),(J84="Child (0-7 years)")),(VLOOKUP(R84,'Hg Values'!$A$1:$M$30,13)),0))*I84</f>
        <v>0</v>
      </c>
      <c r="AB84" s="5">
        <f>(((IF(AND((P84="CA"),(J84="Adult (&gt; 15 years)")),((R84*1)/70)*(VLOOKUP(K84,CA_ingestion!A$1:J$78,4,0)),0))))/11</f>
        <v>0</v>
      </c>
      <c r="AC84" s="5">
        <f t="shared" si="13"/>
        <v>0</v>
      </c>
      <c r="AD84" s="5">
        <f>((IF(AND((P84="CA"),(J84="Adult (&gt; 15 years)")),(AC84*(VLOOKUP(K84,CA_ingestion!A$1:J$78,10,0))),0)))</f>
        <v>0</v>
      </c>
      <c r="AE84" s="5">
        <f t="shared" si="14"/>
        <v>0</v>
      </c>
      <c r="AF84" s="5">
        <f t="shared" si="15"/>
        <v>0</v>
      </c>
    </row>
    <row r="85" spans="1:32" ht="15.5">
      <c r="A85" s="29"/>
      <c r="B85" s="29">
        <v>0</v>
      </c>
      <c r="C85" s="29" t="s">
        <v>369</v>
      </c>
      <c r="D85" s="29"/>
      <c r="E85" s="29"/>
      <c r="F85" s="26" t="str">
        <f>Summary!C$23</f>
        <v>Afghanistan</v>
      </c>
      <c r="G85" s="29"/>
      <c r="H85" s="29" t="s">
        <v>369</v>
      </c>
      <c r="I85" s="33">
        <f>VLOOKUP(H85,'List Data'!$A$100:$B$104,2,0)</f>
        <v>0</v>
      </c>
      <c r="J85" s="29" t="s">
        <v>213</v>
      </c>
      <c r="K85" s="29" t="s">
        <v>213</v>
      </c>
      <c r="L85" s="29">
        <v>0</v>
      </c>
      <c r="M85" s="37">
        <f>S85*Summary!$H$27</f>
        <v>0</v>
      </c>
      <c r="N85" s="37">
        <f>T85*Summary!$H$25</f>
        <v>0</v>
      </c>
      <c r="O85" s="34">
        <f>(VLOOKUP(C85,'List Data'!A$106:B$109,2,0))*B85</f>
        <v>0</v>
      </c>
      <c r="P85" s="26">
        <f>VLOOKUP(K85,'List Data'!A$2:C$94,3,0)</f>
        <v>0</v>
      </c>
      <c r="Q85" s="26" t="str">
        <f>VLOOKUP(K85,'List Data'!A$2:B$94,2,0)</f>
        <v>--------</v>
      </c>
      <c r="R85" s="26">
        <f t="shared" si="10"/>
        <v>0</v>
      </c>
      <c r="S85" s="26">
        <f t="shared" si="11"/>
        <v>0</v>
      </c>
      <c r="T85" s="26">
        <f t="shared" si="12"/>
        <v>0</v>
      </c>
      <c r="U85" s="26">
        <f>(IF(AND((P85="OP"),(J85="Child (0-7 years)")),VLOOKUP(R85,'OP Values'!$A$1:$Q$35,7),))*I85</f>
        <v>0</v>
      </c>
      <c r="V85" s="26">
        <f>(IF(P85="OP",VLOOKUP($R85,'OP Values'!$A$1:$Q$35,17),))*I85</f>
        <v>0</v>
      </c>
      <c r="W85" s="26">
        <f>(IF(AND((P85="Pb"),(J85="Child (0-7 years)")),(VLOOKUP(R85,Pb!$C$2:$AV$103,11)),0))*I85</f>
        <v>0</v>
      </c>
      <c r="X85" s="26">
        <f>(IF(AND((P85="Pb"),(J85="Child (0-7 years)")),(VLOOKUP(R85,Pb!$C$2:$AV$103,20)),0))*I85</f>
        <v>0</v>
      </c>
      <c r="Y85" s="26">
        <f>(IF(AND((P85="Pb"),(J85="Adult (&gt; 15 years)")),(VLOOKUP(R85,Pb!$C$2:$AV$103,46)),0))*I85</f>
        <v>0</v>
      </c>
      <c r="Z85" s="26">
        <f>(IF(AND((P85="Hg"),(J85="Child (0-7 years)")),(VLOOKUP(R85,'Hg Values'!$A$1:$M$30,3)),0))*I85</f>
        <v>0</v>
      </c>
      <c r="AA85" s="26">
        <f>(IF(AND((P85="Hg"),(J85="Child (0-7 years)")),(VLOOKUP(R85,'Hg Values'!$A$1:$M$30,13)),0))*I85</f>
        <v>0</v>
      </c>
      <c r="AB85" s="5">
        <f>(((IF(AND((P85="CA"),(J85="Adult (&gt; 15 years)")),((R85*1)/70)*(VLOOKUP(K85,CA_ingestion!A$1:J$78,4,0)),0))))/11</f>
        <v>0</v>
      </c>
      <c r="AC85" s="5">
        <f t="shared" si="13"/>
        <v>0</v>
      </c>
      <c r="AD85" s="5">
        <f>((IF(AND((P85="CA"),(J85="Adult (&gt; 15 years)")),(AC85*(VLOOKUP(K85,CA_ingestion!A$1:J$78,10,0))),0)))</f>
        <v>0</v>
      </c>
      <c r="AE85" s="5">
        <f t="shared" si="14"/>
        <v>0</v>
      </c>
      <c r="AF85" s="5">
        <f t="shared" si="15"/>
        <v>0</v>
      </c>
    </row>
    <row r="86" spans="1:32" ht="15.5">
      <c r="A86" s="29"/>
      <c r="B86" s="29">
        <v>0</v>
      </c>
      <c r="C86" s="29" t="s">
        <v>369</v>
      </c>
      <c r="D86" s="29"/>
      <c r="E86" s="29"/>
      <c r="F86" s="26" t="str">
        <f>Summary!C$23</f>
        <v>Afghanistan</v>
      </c>
      <c r="G86" s="29"/>
      <c r="H86" s="29" t="s">
        <v>369</v>
      </c>
      <c r="I86" s="33">
        <f>VLOOKUP(H86,'List Data'!$A$100:$B$104,2,0)</f>
        <v>0</v>
      </c>
      <c r="J86" s="29" t="s">
        <v>213</v>
      </c>
      <c r="K86" s="29" t="s">
        <v>213</v>
      </c>
      <c r="L86" s="29">
        <v>0</v>
      </c>
      <c r="M86" s="37">
        <f>S86*Summary!$H$27</f>
        <v>0</v>
      </c>
      <c r="N86" s="37">
        <f>T86*Summary!$H$25</f>
        <v>0</v>
      </c>
      <c r="O86" s="34">
        <f>(VLOOKUP(C86,'List Data'!A$106:B$109,2,0))*B86</f>
        <v>0</v>
      </c>
      <c r="P86" s="26">
        <f>VLOOKUP(K86,'List Data'!A$2:C$94,3,0)</f>
        <v>0</v>
      </c>
      <c r="Q86" s="26" t="str">
        <f>VLOOKUP(K86,'List Data'!A$2:B$94,2,0)</f>
        <v>--------</v>
      </c>
      <c r="R86" s="26">
        <f t="shared" si="10"/>
        <v>0</v>
      </c>
      <c r="S86" s="26">
        <f t="shared" si="11"/>
        <v>0</v>
      </c>
      <c r="T86" s="26">
        <f t="shared" si="12"/>
        <v>0</v>
      </c>
      <c r="U86" s="26">
        <f>(IF(AND((P86="OP"),(J86="Child (0-7 years)")),VLOOKUP(R86,'OP Values'!$A$1:$Q$35,7),))*I86</f>
        <v>0</v>
      </c>
      <c r="V86" s="26">
        <f>(IF(P86="OP",VLOOKUP($R86,'OP Values'!$A$1:$Q$35,17),))*I86</f>
        <v>0</v>
      </c>
      <c r="W86" s="26">
        <f>(IF(AND((P86="Pb"),(J86="Child (0-7 years)")),(VLOOKUP(R86,Pb!$C$2:$AV$103,11)),0))*I86</f>
        <v>0</v>
      </c>
      <c r="X86" s="26">
        <f>(IF(AND((P86="Pb"),(J86="Child (0-7 years)")),(VLOOKUP(R86,Pb!$C$2:$AV$103,20)),0))*I86</f>
        <v>0</v>
      </c>
      <c r="Y86" s="26">
        <f>(IF(AND((P86="Pb"),(J86="Adult (&gt; 15 years)")),(VLOOKUP(R86,Pb!$C$2:$AV$103,46)),0))*I86</f>
        <v>0</v>
      </c>
      <c r="Z86" s="26">
        <f>(IF(AND((P86="Hg"),(J86="Child (0-7 years)")),(VLOOKUP(R86,'Hg Values'!$A$1:$M$30,3)),0))*I86</f>
        <v>0</v>
      </c>
      <c r="AA86" s="26">
        <f>(IF(AND((P86="Hg"),(J86="Child (0-7 years)")),(VLOOKUP(R86,'Hg Values'!$A$1:$M$30,13)),0))*I86</f>
        <v>0</v>
      </c>
      <c r="AB86" s="5">
        <f>(((IF(AND((P86="CA"),(J86="Adult (&gt; 15 years)")),((R86*1)/70)*(VLOOKUP(K86,CA_ingestion!A$1:J$78,4,0)),0))))/11</f>
        <v>0</v>
      </c>
      <c r="AC86" s="5">
        <f t="shared" si="13"/>
        <v>0</v>
      </c>
      <c r="AD86" s="5">
        <f>((IF(AND((P86="CA"),(J86="Adult (&gt; 15 years)")),(AC86*(VLOOKUP(K86,CA_ingestion!A$1:J$78,10,0))),0)))</f>
        <v>0</v>
      </c>
      <c r="AE86" s="5">
        <f t="shared" si="14"/>
        <v>0</v>
      </c>
      <c r="AF86" s="5">
        <f t="shared" si="15"/>
        <v>0</v>
      </c>
    </row>
    <row r="87" spans="1:32" ht="15.5">
      <c r="A87" s="29"/>
      <c r="B87" s="29">
        <v>0</v>
      </c>
      <c r="C87" s="29" t="s">
        <v>369</v>
      </c>
      <c r="D87" s="29"/>
      <c r="E87" s="29"/>
      <c r="F87" s="26" t="str">
        <f>Summary!C$23</f>
        <v>Afghanistan</v>
      </c>
      <c r="G87" s="29"/>
      <c r="H87" s="29" t="s">
        <v>369</v>
      </c>
      <c r="I87" s="33">
        <f>VLOOKUP(H87,'List Data'!$A$100:$B$104,2,0)</f>
        <v>0</v>
      </c>
      <c r="J87" s="29" t="s">
        <v>213</v>
      </c>
      <c r="K87" s="29" t="s">
        <v>213</v>
      </c>
      <c r="L87" s="29">
        <v>0</v>
      </c>
      <c r="M87" s="37">
        <f>S87*Summary!$H$27</f>
        <v>0</v>
      </c>
      <c r="N87" s="37">
        <f>T87*Summary!$H$25</f>
        <v>0</v>
      </c>
      <c r="O87" s="34">
        <f>(VLOOKUP(C87,'List Data'!A$106:B$109,2,0))*B87</f>
        <v>0</v>
      </c>
      <c r="P87" s="26">
        <f>VLOOKUP(K87,'List Data'!A$2:C$94,3,0)</f>
        <v>0</v>
      </c>
      <c r="Q87" s="26" t="str">
        <f>VLOOKUP(K87,'List Data'!A$2:B$94,2,0)</f>
        <v>--------</v>
      </c>
      <c r="R87" s="26">
        <f t="shared" si="10"/>
        <v>0</v>
      </c>
      <c r="S87" s="26">
        <f t="shared" si="11"/>
        <v>0</v>
      </c>
      <c r="T87" s="26">
        <f t="shared" si="12"/>
        <v>0</v>
      </c>
      <c r="U87" s="26">
        <f>(IF(AND((P87="OP"),(J87="Child (0-7 years)")),VLOOKUP(R87,'OP Values'!$A$1:$Q$35,7),))*I87</f>
        <v>0</v>
      </c>
      <c r="V87" s="26">
        <f>(IF(P87="OP",VLOOKUP($R87,'OP Values'!$A$1:$Q$35,17),))*I87</f>
        <v>0</v>
      </c>
      <c r="W87" s="26">
        <f>(IF(AND((P87="Pb"),(J87="Child (0-7 years)")),(VLOOKUP(R87,Pb!$C$2:$AV$103,11)),0))*I87</f>
        <v>0</v>
      </c>
      <c r="X87" s="26">
        <f>(IF(AND((P87="Pb"),(J87="Child (0-7 years)")),(VLOOKUP(R87,Pb!$C$2:$AV$103,20)),0))*I87</f>
        <v>0</v>
      </c>
      <c r="Y87" s="26">
        <f>(IF(AND((P87="Pb"),(J87="Adult (&gt; 15 years)")),(VLOOKUP(R87,Pb!$C$2:$AV$103,46)),0))*I87</f>
        <v>0</v>
      </c>
      <c r="Z87" s="26">
        <f>(IF(AND((P87="Hg"),(J87="Child (0-7 years)")),(VLOOKUP(R87,'Hg Values'!$A$1:$M$30,3)),0))*I87</f>
        <v>0</v>
      </c>
      <c r="AA87" s="26">
        <f>(IF(AND((P87="Hg"),(J87="Child (0-7 years)")),(VLOOKUP(R87,'Hg Values'!$A$1:$M$30,13)),0))*I87</f>
        <v>0</v>
      </c>
      <c r="AB87" s="5">
        <f>(((IF(AND((P87="CA"),(J87="Adult (&gt; 15 years)")),((R87*1)/70)*(VLOOKUP(K87,CA_ingestion!A$1:J$78,4,0)),0))))/11</f>
        <v>0</v>
      </c>
      <c r="AC87" s="5">
        <f t="shared" si="13"/>
        <v>0</v>
      </c>
      <c r="AD87" s="5">
        <f>((IF(AND((P87="CA"),(J87="Adult (&gt; 15 years)")),(AC87*(VLOOKUP(K87,CA_ingestion!A$1:J$78,10,0))),0)))</f>
        <v>0</v>
      </c>
      <c r="AE87" s="5">
        <f t="shared" si="14"/>
        <v>0</v>
      </c>
      <c r="AF87" s="5">
        <f t="shared" si="15"/>
        <v>0</v>
      </c>
    </row>
    <row r="88" spans="1:32" ht="15.5">
      <c r="A88" s="29"/>
      <c r="B88" s="29">
        <v>0</v>
      </c>
      <c r="C88" s="29" t="s">
        <v>369</v>
      </c>
      <c r="D88" s="29"/>
      <c r="E88" s="29"/>
      <c r="F88" s="26" t="str">
        <f>Summary!C$23</f>
        <v>Afghanistan</v>
      </c>
      <c r="G88" s="29"/>
      <c r="H88" s="29" t="s">
        <v>369</v>
      </c>
      <c r="I88" s="33">
        <f>VLOOKUP(H88,'List Data'!$A$100:$B$104,2,0)</f>
        <v>0</v>
      </c>
      <c r="J88" s="29" t="s">
        <v>213</v>
      </c>
      <c r="K88" s="29" t="s">
        <v>213</v>
      </c>
      <c r="L88" s="29">
        <v>0</v>
      </c>
      <c r="M88" s="37">
        <f>S88*Summary!$H$27</f>
        <v>0</v>
      </c>
      <c r="N88" s="37">
        <f>T88*Summary!$H$25</f>
        <v>0</v>
      </c>
      <c r="O88" s="34">
        <f>(VLOOKUP(C88,'List Data'!A$106:B$109,2,0))*B88</f>
        <v>0</v>
      </c>
      <c r="P88" s="26">
        <f>VLOOKUP(K88,'List Data'!A$2:C$94,3,0)</f>
        <v>0</v>
      </c>
      <c r="Q88" s="26" t="str">
        <f>VLOOKUP(K88,'List Data'!A$2:B$94,2,0)</f>
        <v>--------</v>
      </c>
      <c r="R88" s="26">
        <f t="shared" si="10"/>
        <v>0</v>
      </c>
      <c r="S88" s="26">
        <f t="shared" si="11"/>
        <v>0</v>
      </c>
      <c r="T88" s="26">
        <f t="shared" si="12"/>
        <v>0</v>
      </c>
      <c r="U88" s="26">
        <f>(IF(AND((P88="OP"),(J88="Child (0-7 years)")),VLOOKUP(R88,'OP Values'!$A$1:$Q$35,7),))*I88</f>
        <v>0</v>
      </c>
      <c r="V88" s="26">
        <f>(IF(P88="OP",VLOOKUP($R88,'OP Values'!$A$1:$Q$35,17),))*I88</f>
        <v>0</v>
      </c>
      <c r="W88" s="26">
        <f>(IF(AND((P88="Pb"),(J88="Child (0-7 years)")),(VLOOKUP(R88,Pb!$C$2:$AV$103,11)),0))*I88</f>
        <v>0</v>
      </c>
      <c r="X88" s="26">
        <f>(IF(AND((P88="Pb"),(J88="Child (0-7 years)")),(VLOOKUP(R88,Pb!$C$2:$AV$103,20)),0))*I88</f>
        <v>0</v>
      </c>
      <c r="Y88" s="26">
        <f>(IF(AND((P88="Pb"),(J88="Adult (&gt; 15 years)")),(VLOOKUP(R88,Pb!$C$2:$AV$103,46)),0))*I88</f>
        <v>0</v>
      </c>
      <c r="Z88" s="26">
        <f>(IF(AND((P88="Hg"),(J88="Child (0-7 years)")),(VLOOKUP(R88,'Hg Values'!$A$1:$M$30,3)),0))*I88</f>
        <v>0</v>
      </c>
      <c r="AA88" s="26">
        <f>(IF(AND((P88="Hg"),(J88="Child (0-7 years)")),(VLOOKUP(R88,'Hg Values'!$A$1:$M$30,13)),0))*I88</f>
        <v>0</v>
      </c>
      <c r="AB88" s="5">
        <f>(((IF(AND((P88="CA"),(J88="Adult (&gt; 15 years)")),((R88*1)/70)*(VLOOKUP(K88,CA_ingestion!A$1:J$78,4,0)),0))))/11</f>
        <v>0</v>
      </c>
      <c r="AC88" s="5">
        <f t="shared" si="13"/>
        <v>0</v>
      </c>
      <c r="AD88" s="5">
        <f>((IF(AND((P88="CA"),(J88="Adult (&gt; 15 years)")),(AC88*(VLOOKUP(K88,CA_ingestion!A$1:J$78,10,0))),0)))</f>
        <v>0</v>
      </c>
      <c r="AE88" s="5">
        <f t="shared" si="14"/>
        <v>0</v>
      </c>
      <c r="AF88" s="5">
        <f t="shared" si="15"/>
        <v>0</v>
      </c>
    </row>
    <row r="89" spans="1:32" ht="15.5">
      <c r="A89" s="29"/>
      <c r="B89" s="29">
        <v>0</v>
      </c>
      <c r="C89" s="29" t="s">
        <v>369</v>
      </c>
      <c r="D89" s="29"/>
      <c r="E89" s="29"/>
      <c r="F89" s="26" t="str">
        <f>Summary!C$23</f>
        <v>Afghanistan</v>
      </c>
      <c r="G89" s="29"/>
      <c r="H89" s="29" t="s">
        <v>369</v>
      </c>
      <c r="I89" s="33">
        <f>VLOOKUP(H89,'List Data'!$A$100:$B$104,2,0)</f>
        <v>0</v>
      </c>
      <c r="J89" s="29" t="s">
        <v>213</v>
      </c>
      <c r="K89" s="29" t="s">
        <v>213</v>
      </c>
      <c r="L89" s="29">
        <v>0</v>
      </c>
      <c r="M89" s="37">
        <f>S89*Summary!$H$27</f>
        <v>0</v>
      </c>
      <c r="N89" s="37">
        <f>T89*Summary!$H$25</f>
        <v>0</v>
      </c>
      <c r="O89" s="34">
        <f>(VLOOKUP(C89,'List Data'!A$106:B$109,2,0))*B89</f>
        <v>0</v>
      </c>
      <c r="P89" s="26">
        <f>VLOOKUP(K89,'List Data'!A$2:C$94,3,0)</f>
        <v>0</v>
      </c>
      <c r="Q89" s="26" t="str">
        <f>VLOOKUP(K89,'List Data'!A$2:B$94,2,0)</f>
        <v>--------</v>
      </c>
      <c r="R89" s="26">
        <f t="shared" si="10"/>
        <v>0</v>
      </c>
      <c r="S89" s="26">
        <f t="shared" si="11"/>
        <v>0</v>
      </c>
      <c r="T89" s="26">
        <f t="shared" si="12"/>
        <v>0</v>
      </c>
      <c r="U89" s="26">
        <f>(IF(AND((P89="OP"),(J89="Child (0-7 years)")),VLOOKUP(R89,'OP Values'!$A$1:$Q$35,7),))*I89</f>
        <v>0</v>
      </c>
      <c r="V89" s="26">
        <f>(IF(P89="OP",VLOOKUP($R89,'OP Values'!$A$1:$Q$35,17),))*I89</f>
        <v>0</v>
      </c>
      <c r="W89" s="26">
        <f>(IF(AND((P89="Pb"),(J89="Child (0-7 years)")),(VLOOKUP(R89,Pb!$C$2:$AV$103,11)),0))*I89</f>
        <v>0</v>
      </c>
      <c r="X89" s="26">
        <f>(IF(AND((P89="Pb"),(J89="Child (0-7 years)")),(VLOOKUP(R89,Pb!$C$2:$AV$103,20)),0))*I89</f>
        <v>0</v>
      </c>
      <c r="Y89" s="26">
        <f>(IF(AND((P89="Pb"),(J89="Adult (&gt; 15 years)")),(VLOOKUP(R89,Pb!$C$2:$AV$103,46)),0))*I89</f>
        <v>0</v>
      </c>
      <c r="Z89" s="26">
        <f>(IF(AND((P89="Hg"),(J89="Child (0-7 years)")),(VLOOKUP(R89,'Hg Values'!$A$1:$M$30,3)),0))*I89</f>
        <v>0</v>
      </c>
      <c r="AA89" s="26">
        <f>(IF(AND((P89="Hg"),(J89="Child (0-7 years)")),(VLOOKUP(R89,'Hg Values'!$A$1:$M$30,13)),0))*I89</f>
        <v>0</v>
      </c>
      <c r="AB89" s="5">
        <f>(((IF(AND((P89="CA"),(J89="Adult (&gt; 15 years)")),((R89*1)/70)*(VLOOKUP(K89,CA_ingestion!A$1:J$78,4,0)),0))))/11</f>
        <v>0</v>
      </c>
      <c r="AC89" s="5">
        <f t="shared" si="13"/>
        <v>0</v>
      </c>
      <c r="AD89" s="5">
        <f>((IF(AND((P89="CA"),(J89="Adult (&gt; 15 years)")),(AC89*(VLOOKUP(K89,CA_ingestion!A$1:J$78,10,0))),0)))</f>
        <v>0</v>
      </c>
      <c r="AE89" s="5">
        <f t="shared" si="14"/>
        <v>0</v>
      </c>
      <c r="AF89" s="5">
        <f t="shared" si="15"/>
        <v>0</v>
      </c>
    </row>
    <row r="90" spans="1:32" ht="15.5">
      <c r="A90" s="29"/>
      <c r="B90" s="29">
        <v>0</v>
      </c>
      <c r="C90" s="29" t="s">
        <v>369</v>
      </c>
      <c r="D90" s="29"/>
      <c r="E90" s="29"/>
      <c r="F90" s="26" t="str">
        <f>Summary!C$23</f>
        <v>Afghanistan</v>
      </c>
      <c r="G90" s="29"/>
      <c r="H90" s="29" t="s">
        <v>369</v>
      </c>
      <c r="I90" s="33">
        <f>VLOOKUP(H90,'List Data'!$A$100:$B$104,2,0)</f>
        <v>0</v>
      </c>
      <c r="J90" s="29" t="s">
        <v>213</v>
      </c>
      <c r="K90" s="29" t="s">
        <v>213</v>
      </c>
      <c r="L90" s="29">
        <v>0</v>
      </c>
      <c r="M90" s="37">
        <f>S90*Summary!$H$27</f>
        <v>0</v>
      </c>
      <c r="N90" s="37">
        <f>T90*Summary!$H$25</f>
        <v>0</v>
      </c>
      <c r="O90" s="34">
        <f>(VLOOKUP(C90,'List Data'!A$106:B$109,2,0))*B90</f>
        <v>0</v>
      </c>
      <c r="P90" s="26">
        <f>VLOOKUP(K90,'List Data'!A$2:C$94,3,0)</f>
        <v>0</v>
      </c>
      <c r="Q90" s="26" t="str">
        <f>VLOOKUP(K90,'List Data'!A$2:B$94,2,0)</f>
        <v>--------</v>
      </c>
      <c r="R90" s="26">
        <f t="shared" si="10"/>
        <v>0</v>
      </c>
      <c r="S90" s="26">
        <f t="shared" si="11"/>
        <v>0</v>
      </c>
      <c r="T90" s="26">
        <f t="shared" si="12"/>
        <v>0</v>
      </c>
      <c r="U90" s="26">
        <f>(IF(AND((P90="OP"),(J90="Child (0-7 years)")),VLOOKUP(R90,'OP Values'!$A$1:$Q$35,7),))*I90</f>
        <v>0</v>
      </c>
      <c r="V90" s="26">
        <f>(IF(P90="OP",VLOOKUP($R90,'OP Values'!$A$1:$Q$35,17),))*I90</f>
        <v>0</v>
      </c>
      <c r="W90" s="26">
        <f>(IF(AND((P90="Pb"),(J90="Child (0-7 years)")),(VLOOKUP(R90,Pb!$C$2:$AV$103,11)),0))*I90</f>
        <v>0</v>
      </c>
      <c r="X90" s="26">
        <f>(IF(AND((P90="Pb"),(J90="Child (0-7 years)")),(VLOOKUP(R90,Pb!$C$2:$AV$103,20)),0))*I90</f>
        <v>0</v>
      </c>
      <c r="Y90" s="26">
        <f>(IF(AND((P90="Pb"),(J90="Adult (&gt; 15 years)")),(VLOOKUP(R90,Pb!$C$2:$AV$103,46)),0))*I90</f>
        <v>0</v>
      </c>
      <c r="Z90" s="26">
        <f>(IF(AND((P90="Hg"),(J90="Child (0-7 years)")),(VLOOKUP(R90,'Hg Values'!$A$1:$M$30,3)),0))*I90</f>
        <v>0</v>
      </c>
      <c r="AA90" s="26">
        <f>(IF(AND((P90="Hg"),(J90="Child (0-7 years)")),(VLOOKUP(R90,'Hg Values'!$A$1:$M$30,13)),0))*I90</f>
        <v>0</v>
      </c>
      <c r="AB90" s="5">
        <f>(((IF(AND((P90="CA"),(J90="Adult (&gt; 15 years)")),((R90*1)/70)*(VLOOKUP(K90,CA_ingestion!A$1:J$78,4,0)),0))))/11</f>
        <v>0</v>
      </c>
      <c r="AC90" s="5">
        <f t="shared" si="13"/>
        <v>0</v>
      </c>
      <c r="AD90" s="5">
        <f>((IF(AND((P90="CA"),(J90="Adult (&gt; 15 years)")),(AC90*(VLOOKUP(K90,CA_ingestion!A$1:J$78,10,0))),0)))</f>
        <v>0</v>
      </c>
      <c r="AE90" s="5">
        <f t="shared" si="14"/>
        <v>0</v>
      </c>
      <c r="AF90" s="5">
        <f t="shared" si="15"/>
        <v>0</v>
      </c>
    </row>
    <row r="91" spans="1:32" ht="15.5">
      <c r="A91" s="29"/>
      <c r="B91" s="29">
        <v>0</v>
      </c>
      <c r="C91" s="29" t="s">
        <v>369</v>
      </c>
      <c r="D91" s="29"/>
      <c r="E91" s="29"/>
      <c r="F91" s="26" t="str">
        <f>Summary!C$23</f>
        <v>Afghanistan</v>
      </c>
      <c r="G91" s="29"/>
      <c r="H91" s="29" t="s">
        <v>369</v>
      </c>
      <c r="I91" s="33">
        <f>VLOOKUP(H91,'List Data'!$A$100:$B$104,2,0)</f>
        <v>0</v>
      </c>
      <c r="J91" s="29" t="s">
        <v>213</v>
      </c>
      <c r="K91" s="29" t="s">
        <v>213</v>
      </c>
      <c r="L91" s="29">
        <v>0</v>
      </c>
      <c r="M91" s="37">
        <f>S91*Summary!$H$27</f>
        <v>0</v>
      </c>
      <c r="N91" s="37">
        <f>T91*Summary!$H$25</f>
        <v>0</v>
      </c>
      <c r="O91" s="34">
        <f>(VLOOKUP(C91,'List Data'!A$106:B$109,2,0))*B91</f>
        <v>0</v>
      </c>
      <c r="P91" s="26">
        <f>VLOOKUP(K91,'List Data'!A$2:C$94,3,0)</f>
        <v>0</v>
      </c>
      <c r="Q91" s="26" t="str">
        <f>VLOOKUP(K91,'List Data'!A$2:B$94,2,0)</f>
        <v>--------</v>
      </c>
      <c r="R91" s="26">
        <f t="shared" si="10"/>
        <v>0</v>
      </c>
      <c r="S91" s="26">
        <f t="shared" si="11"/>
        <v>0</v>
      </c>
      <c r="T91" s="26">
        <f t="shared" si="12"/>
        <v>0</v>
      </c>
      <c r="U91" s="26">
        <f>(IF(AND((P91="OP"),(J91="Child (0-7 years)")),VLOOKUP(R91,'OP Values'!$A$1:$Q$35,7),))*I91</f>
        <v>0</v>
      </c>
      <c r="V91" s="26">
        <f>(IF(P91="OP",VLOOKUP($R91,'OP Values'!$A$1:$Q$35,17),))*I91</f>
        <v>0</v>
      </c>
      <c r="W91" s="26">
        <f>(IF(AND((P91="Pb"),(J91="Child (0-7 years)")),(VLOOKUP(R91,Pb!$C$2:$AV$103,11)),0))*I91</f>
        <v>0</v>
      </c>
      <c r="X91" s="26">
        <f>(IF(AND((P91="Pb"),(J91="Child (0-7 years)")),(VLOOKUP(R91,Pb!$C$2:$AV$103,20)),0))*I91</f>
        <v>0</v>
      </c>
      <c r="Y91" s="26">
        <f>(IF(AND((P91="Pb"),(J91="Adult (&gt; 15 years)")),(VLOOKUP(R91,Pb!$C$2:$AV$103,46)),0))*I91</f>
        <v>0</v>
      </c>
      <c r="Z91" s="26">
        <f>(IF(AND((P91="Hg"),(J91="Child (0-7 years)")),(VLOOKUP(R91,'Hg Values'!$A$1:$M$30,3)),0))*I91</f>
        <v>0</v>
      </c>
      <c r="AA91" s="26">
        <f>(IF(AND((P91="Hg"),(J91="Child (0-7 years)")),(VLOOKUP(R91,'Hg Values'!$A$1:$M$30,13)),0))*I91</f>
        <v>0</v>
      </c>
      <c r="AB91" s="5">
        <f>(((IF(AND((P91="CA"),(J91="Adult (&gt; 15 years)")),((R91*1)/70)*(VLOOKUP(K91,CA_ingestion!A$1:J$78,4,0)),0))))/11</f>
        <v>0</v>
      </c>
      <c r="AC91" s="5">
        <f t="shared" si="13"/>
        <v>0</v>
      </c>
      <c r="AD91" s="5">
        <f>((IF(AND((P91="CA"),(J91="Adult (&gt; 15 years)")),(AC91*(VLOOKUP(K91,CA_ingestion!A$1:J$78,10,0))),0)))</f>
        <v>0</v>
      </c>
      <c r="AE91" s="5">
        <f t="shared" si="14"/>
        <v>0</v>
      </c>
      <c r="AF91" s="5">
        <f t="shared" si="15"/>
        <v>0</v>
      </c>
    </row>
    <row r="92" spans="1:32" ht="15.5">
      <c r="A92" s="29"/>
      <c r="B92" s="29">
        <v>0</v>
      </c>
      <c r="C92" s="29" t="s">
        <v>369</v>
      </c>
      <c r="D92" s="29"/>
      <c r="E92" s="29"/>
      <c r="F92" s="26" t="str">
        <f>Summary!C$23</f>
        <v>Afghanistan</v>
      </c>
      <c r="G92" s="29"/>
      <c r="H92" s="29" t="s">
        <v>369</v>
      </c>
      <c r="I92" s="33">
        <f>VLOOKUP(H92,'List Data'!$A$100:$B$104,2,0)</f>
        <v>0</v>
      </c>
      <c r="J92" s="29" t="s">
        <v>213</v>
      </c>
      <c r="K92" s="29" t="s">
        <v>213</v>
      </c>
      <c r="L92" s="29">
        <v>0</v>
      </c>
      <c r="M92" s="37">
        <f>S92*Summary!$H$27</f>
        <v>0</v>
      </c>
      <c r="N92" s="37">
        <f>T92*Summary!$H$25</f>
        <v>0</v>
      </c>
      <c r="O92" s="34">
        <f>(VLOOKUP(C92,'List Data'!A$106:B$109,2,0))*B92</f>
        <v>0</v>
      </c>
      <c r="P92" s="26">
        <f>VLOOKUP(K92,'List Data'!A$2:C$94,3,0)</f>
        <v>0</v>
      </c>
      <c r="Q92" s="26" t="str">
        <f>VLOOKUP(K92,'List Data'!A$2:B$94,2,0)</f>
        <v>--------</v>
      </c>
      <c r="R92" s="26">
        <f t="shared" si="10"/>
        <v>0</v>
      </c>
      <c r="S92" s="26">
        <f t="shared" si="11"/>
        <v>0</v>
      </c>
      <c r="T92" s="26">
        <f t="shared" si="12"/>
        <v>0</v>
      </c>
      <c r="U92" s="26">
        <f>(IF(AND((P92="OP"),(J92="Child (0-7 years)")),VLOOKUP(R92,'OP Values'!$A$1:$Q$35,7),))*I92</f>
        <v>0</v>
      </c>
      <c r="V92" s="26">
        <f>(IF(P92="OP",VLOOKUP($R92,'OP Values'!$A$1:$Q$35,17),))*I92</f>
        <v>0</v>
      </c>
      <c r="W92" s="26">
        <f>(IF(AND((P92="Pb"),(J92="Child (0-7 years)")),(VLOOKUP(R92,Pb!$C$2:$AV$103,11)),0))*I92</f>
        <v>0</v>
      </c>
      <c r="X92" s="26">
        <f>(IF(AND((P92="Pb"),(J92="Child (0-7 years)")),(VLOOKUP(R92,Pb!$C$2:$AV$103,20)),0))*I92</f>
        <v>0</v>
      </c>
      <c r="Y92" s="26">
        <f>(IF(AND((P92="Pb"),(J92="Adult (&gt; 15 years)")),(VLOOKUP(R92,Pb!$C$2:$AV$103,46)),0))*I92</f>
        <v>0</v>
      </c>
      <c r="Z92" s="26">
        <f>(IF(AND((P92="Hg"),(J92="Child (0-7 years)")),(VLOOKUP(R92,'Hg Values'!$A$1:$M$30,3)),0))*I92</f>
        <v>0</v>
      </c>
      <c r="AA92" s="26">
        <f>(IF(AND((P92="Hg"),(J92="Child (0-7 years)")),(VLOOKUP(R92,'Hg Values'!$A$1:$M$30,13)),0))*I92</f>
        <v>0</v>
      </c>
      <c r="AB92" s="5">
        <f>(((IF(AND((P92="CA"),(J92="Adult (&gt; 15 years)")),((R92*1)/70)*(VLOOKUP(K92,CA_ingestion!A$1:J$78,4,0)),0))))/11</f>
        <v>0</v>
      </c>
      <c r="AC92" s="5">
        <f t="shared" si="13"/>
        <v>0</v>
      </c>
      <c r="AD92" s="5">
        <f>((IF(AND((P92="CA"),(J92="Adult (&gt; 15 years)")),(AC92*(VLOOKUP(K92,CA_ingestion!A$1:J$78,10,0))),0)))</f>
        <v>0</v>
      </c>
      <c r="AE92" s="5">
        <f t="shared" si="14"/>
        <v>0</v>
      </c>
      <c r="AF92" s="5">
        <f t="shared" si="15"/>
        <v>0</v>
      </c>
    </row>
    <row r="93" spans="1:32" ht="15.5">
      <c r="A93" s="29"/>
      <c r="B93" s="29">
        <v>0</v>
      </c>
      <c r="C93" s="29" t="s">
        <v>369</v>
      </c>
      <c r="D93" s="29"/>
      <c r="E93" s="29"/>
      <c r="F93" s="26" t="str">
        <f>Summary!C$23</f>
        <v>Afghanistan</v>
      </c>
      <c r="G93" s="29"/>
      <c r="H93" s="29" t="s">
        <v>369</v>
      </c>
      <c r="I93" s="33">
        <f>VLOOKUP(H93,'List Data'!$A$100:$B$104,2,0)</f>
        <v>0</v>
      </c>
      <c r="J93" s="29" t="s">
        <v>213</v>
      </c>
      <c r="K93" s="29" t="s">
        <v>213</v>
      </c>
      <c r="L93" s="29">
        <v>0</v>
      </c>
      <c r="M93" s="37">
        <f>S93*Summary!$H$27</f>
        <v>0</v>
      </c>
      <c r="N93" s="37">
        <f>T93*Summary!$H$25</f>
        <v>0</v>
      </c>
      <c r="O93" s="34">
        <f>(VLOOKUP(C93,'List Data'!A$106:B$109,2,0))*B93</f>
        <v>0</v>
      </c>
      <c r="P93" s="26">
        <f>VLOOKUP(K93,'List Data'!A$2:C$94,3,0)</f>
        <v>0</v>
      </c>
      <c r="Q93" s="26" t="str">
        <f>VLOOKUP(K93,'List Data'!A$2:B$94,2,0)</f>
        <v>--------</v>
      </c>
      <c r="R93" s="26">
        <f t="shared" si="10"/>
        <v>0</v>
      </c>
      <c r="S93" s="26">
        <f t="shared" si="11"/>
        <v>0</v>
      </c>
      <c r="T93" s="26">
        <f t="shared" si="12"/>
        <v>0</v>
      </c>
      <c r="U93" s="26">
        <f>(IF(AND((P93="OP"),(J93="Child (0-7 years)")),VLOOKUP(R93,'OP Values'!$A$1:$Q$35,7),))*I93</f>
        <v>0</v>
      </c>
      <c r="V93" s="26">
        <f>(IF(P93="OP",VLOOKUP($R93,'OP Values'!$A$1:$Q$35,17),))*I93</f>
        <v>0</v>
      </c>
      <c r="W93" s="26">
        <f>(IF(AND((P93="Pb"),(J93="Child (0-7 years)")),(VLOOKUP(R93,Pb!$C$2:$AV$103,11)),0))*I93</f>
        <v>0</v>
      </c>
      <c r="X93" s="26">
        <f>(IF(AND((P93="Pb"),(J93="Child (0-7 years)")),(VLOOKUP(R93,Pb!$C$2:$AV$103,20)),0))*I93</f>
        <v>0</v>
      </c>
      <c r="Y93" s="26">
        <f>(IF(AND((P93="Pb"),(J93="Adult (&gt; 15 years)")),(VLOOKUP(R93,Pb!$C$2:$AV$103,46)),0))*I93</f>
        <v>0</v>
      </c>
      <c r="Z93" s="26">
        <f>(IF(AND((P93="Hg"),(J93="Child (0-7 years)")),(VLOOKUP(R93,'Hg Values'!$A$1:$M$30,3)),0))*I93</f>
        <v>0</v>
      </c>
      <c r="AA93" s="26">
        <f>(IF(AND((P93="Hg"),(J93="Child (0-7 years)")),(VLOOKUP(R93,'Hg Values'!$A$1:$M$30,13)),0))*I93</f>
        <v>0</v>
      </c>
      <c r="AB93" s="5">
        <f>(((IF(AND((P93="CA"),(J93="Adult (&gt; 15 years)")),((R93*1)/70)*(VLOOKUP(K93,CA_ingestion!A$1:J$78,4,0)),0))))/11</f>
        <v>0</v>
      </c>
      <c r="AC93" s="5">
        <f t="shared" si="13"/>
        <v>0</v>
      </c>
      <c r="AD93" s="5">
        <f>((IF(AND((P93="CA"),(J93="Adult (&gt; 15 years)")),(AC93*(VLOOKUP(K93,CA_ingestion!A$1:J$78,10,0))),0)))</f>
        <v>0</v>
      </c>
      <c r="AE93" s="5">
        <f t="shared" si="14"/>
        <v>0</v>
      </c>
      <c r="AF93" s="5">
        <f t="shared" si="15"/>
        <v>0</v>
      </c>
    </row>
    <row r="94" spans="1:32" ht="15.5">
      <c r="A94" s="29"/>
      <c r="B94" s="29">
        <v>0</v>
      </c>
      <c r="C94" s="29" t="s">
        <v>369</v>
      </c>
      <c r="D94" s="29"/>
      <c r="E94" s="29"/>
      <c r="F94" s="26" t="str">
        <f>Summary!C$23</f>
        <v>Afghanistan</v>
      </c>
      <c r="G94" s="29"/>
      <c r="H94" s="29" t="s">
        <v>369</v>
      </c>
      <c r="I94" s="33">
        <f>VLOOKUP(H94,'List Data'!$A$100:$B$104,2,0)</f>
        <v>0</v>
      </c>
      <c r="J94" s="29" t="s">
        <v>213</v>
      </c>
      <c r="K94" s="29" t="s">
        <v>213</v>
      </c>
      <c r="L94" s="29">
        <v>0</v>
      </c>
      <c r="M94" s="37">
        <f>S94*Summary!$H$27</f>
        <v>0</v>
      </c>
      <c r="N94" s="37">
        <f>T94*Summary!$H$25</f>
        <v>0</v>
      </c>
      <c r="O94" s="34">
        <f>(VLOOKUP(C94,'List Data'!A$106:B$109,2,0))*B94</f>
        <v>0</v>
      </c>
      <c r="P94" s="26">
        <f>VLOOKUP(K94,'List Data'!A$2:C$94,3,0)</f>
        <v>0</v>
      </c>
      <c r="Q94" s="26" t="str">
        <f>VLOOKUP(K94,'List Data'!A$2:B$94,2,0)</f>
        <v>--------</v>
      </c>
      <c r="R94" s="26">
        <f t="shared" si="10"/>
        <v>0</v>
      </c>
      <c r="S94" s="26">
        <f t="shared" si="11"/>
        <v>0</v>
      </c>
      <c r="T94" s="26">
        <f t="shared" si="12"/>
        <v>0</v>
      </c>
      <c r="U94" s="26">
        <f>(IF(AND((P94="OP"),(J94="Child (0-7 years)")),VLOOKUP(R94,'OP Values'!$A$1:$Q$35,7),))*I94</f>
        <v>0</v>
      </c>
      <c r="V94" s="26">
        <f>(IF(P94="OP",VLOOKUP($R94,'OP Values'!$A$1:$Q$35,17),))*I94</f>
        <v>0</v>
      </c>
      <c r="W94" s="26">
        <f>(IF(AND((P94="Pb"),(J94="Child (0-7 years)")),(VLOOKUP(R94,Pb!$C$2:$AV$103,11)),0))*I94</f>
        <v>0</v>
      </c>
      <c r="X94" s="26">
        <f>(IF(AND((P94="Pb"),(J94="Child (0-7 years)")),(VLOOKUP(R94,Pb!$C$2:$AV$103,20)),0))*I94</f>
        <v>0</v>
      </c>
      <c r="Y94" s="26">
        <f>(IF(AND((P94="Pb"),(J94="Adult (&gt; 15 years)")),(VLOOKUP(R94,Pb!$C$2:$AV$103,46)),0))*I94</f>
        <v>0</v>
      </c>
      <c r="Z94" s="26">
        <f>(IF(AND((P94="Hg"),(J94="Child (0-7 years)")),(VLOOKUP(R94,'Hg Values'!$A$1:$M$30,3)),0))*I94</f>
        <v>0</v>
      </c>
      <c r="AA94" s="26">
        <f>(IF(AND((P94="Hg"),(J94="Child (0-7 years)")),(VLOOKUP(R94,'Hg Values'!$A$1:$M$30,13)),0))*I94</f>
        <v>0</v>
      </c>
      <c r="AB94" s="5">
        <f>(((IF(AND((P94="CA"),(J94="Adult (&gt; 15 years)")),((R94*1)/70)*(VLOOKUP(K94,CA_ingestion!A$1:J$78,4,0)),0))))/11</f>
        <v>0</v>
      </c>
      <c r="AC94" s="5">
        <f t="shared" si="13"/>
        <v>0</v>
      </c>
      <c r="AD94" s="5">
        <f>((IF(AND((P94="CA"),(J94="Adult (&gt; 15 years)")),(AC94*(VLOOKUP(K94,CA_ingestion!A$1:J$78,10,0))),0)))</f>
        <v>0</v>
      </c>
      <c r="AE94" s="5">
        <f t="shared" si="14"/>
        <v>0</v>
      </c>
      <c r="AF94" s="5">
        <f t="shared" si="15"/>
        <v>0</v>
      </c>
    </row>
    <row r="95" spans="1:32" ht="15.5">
      <c r="A95" s="29"/>
      <c r="B95" s="29">
        <v>0</v>
      </c>
      <c r="C95" s="29" t="s">
        <v>369</v>
      </c>
      <c r="D95" s="29"/>
      <c r="E95" s="29"/>
      <c r="F95" s="26" t="str">
        <f>Summary!C$23</f>
        <v>Afghanistan</v>
      </c>
      <c r="G95" s="29"/>
      <c r="H95" s="29" t="s">
        <v>369</v>
      </c>
      <c r="I95" s="33">
        <f>VLOOKUP(H95,'List Data'!$A$100:$B$104,2,0)</f>
        <v>0</v>
      </c>
      <c r="J95" s="29" t="s">
        <v>213</v>
      </c>
      <c r="K95" s="29" t="s">
        <v>213</v>
      </c>
      <c r="L95" s="29">
        <v>0</v>
      </c>
      <c r="M95" s="37">
        <f>S95*Summary!$H$27</f>
        <v>0</v>
      </c>
      <c r="N95" s="37">
        <f>T95*Summary!$H$25</f>
        <v>0</v>
      </c>
      <c r="O95" s="34">
        <f>(VLOOKUP(C95,'List Data'!A$106:B$109,2,0))*B95</f>
        <v>0</v>
      </c>
      <c r="P95" s="26">
        <f>VLOOKUP(K95,'List Data'!A$2:C$94,3,0)</f>
        <v>0</v>
      </c>
      <c r="Q95" s="26" t="str">
        <f>VLOOKUP(K95,'List Data'!A$2:B$94,2,0)</f>
        <v>--------</v>
      </c>
      <c r="R95" s="26">
        <f t="shared" si="10"/>
        <v>0</v>
      </c>
      <c r="S95" s="26">
        <f t="shared" si="11"/>
        <v>0</v>
      </c>
      <c r="T95" s="26">
        <f t="shared" si="12"/>
        <v>0</v>
      </c>
      <c r="U95" s="26">
        <f>(IF(AND((P95="OP"),(J95="Child (0-7 years)")),VLOOKUP(R95,'OP Values'!$A$1:$Q$35,7),))*I95</f>
        <v>0</v>
      </c>
      <c r="V95" s="26">
        <f>(IF(P95="OP",VLOOKUP($R95,'OP Values'!$A$1:$Q$35,17),))*I95</f>
        <v>0</v>
      </c>
      <c r="W95" s="26">
        <f>(IF(AND((P95="Pb"),(J95="Child (0-7 years)")),(VLOOKUP(R95,Pb!$C$2:$AV$103,11)),0))*I95</f>
        <v>0</v>
      </c>
      <c r="X95" s="26">
        <f>(IF(AND((P95="Pb"),(J95="Child (0-7 years)")),(VLOOKUP(R95,Pb!$C$2:$AV$103,20)),0))*I95</f>
        <v>0</v>
      </c>
      <c r="Y95" s="26">
        <f>(IF(AND((P95="Pb"),(J95="Adult (&gt; 15 years)")),(VLOOKUP(R95,Pb!$C$2:$AV$103,46)),0))*I95</f>
        <v>0</v>
      </c>
      <c r="Z95" s="26">
        <f>(IF(AND((P95="Hg"),(J95="Child (0-7 years)")),(VLOOKUP(R95,'Hg Values'!$A$1:$M$30,3)),0))*I95</f>
        <v>0</v>
      </c>
      <c r="AA95" s="26">
        <f>(IF(AND((P95="Hg"),(J95="Child (0-7 years)")),(VLOOKUP(R95,'Hg Values'!$A$1:$M$30,13)),0))*I95</f>
        <v>0</v>
      </c>
      <c r="AB95" s="5">
        <f>(((IF(AND((P95="CA"),(J95="Adult (&gt; 15 years)")),((R95*1)/70)*(VLOOKUP(K95,CA_ingestion!A$1:J$78,4,0)),0))))/11</f>
        <v>0</v>
      </c>
      <c r="AC95" s="5">
        <f t="shared" si="13"/>
        <v>0</v>
      </c>
      <c r="AD95" s="5">
        <f>((IF(AND((P95="CA"),(J95="Adult (&gt; 15 years)")),(AC95*(VLOOKUP(K95,CA_ingestion!A$1:J$78,10,0))),0)))</f>
        <v>0</v>
      </c>
      <c r="AE95" s="5">
        <f t="shared" si="14"/>
        <v>0</v>
      </c>
      <c r="AF95" s="5">
        <f t="shared" si="15"/>
        <v>0</v>
      </c>
    </row>
    <row r="96" spans="1:32" ht="15.5">
      <c r="A96" s="29"/>
      <c r="B96" s="29">
        <v>0</v>
      </c>
      <c r="C96" s="29" t="s">
        <v>369</v>
      </c>
      <c r="D96" s="29"/>
      <c r="E96" s="29"/>
      <c r="F96" s="26" t="str">
        <f>Summary!C$23</f>
        <v>Afghanistan</v>
      </c>
      <c r="G96" s="29"/>
      <c r="H96" s="29" t="s">
        <v>369</v>
      </c>
      <c r="I96" s="33">
        <f>VLOOKUP(H96,'List Data'!$A$100:$B$104,2,0)</f>
        <v>0</v>
      </c>
      <c r="J96" s="29" t="s">
        <v>213</v>
      </c>
      <c r="K96" s="29" t="s">
        <v>213</v>
      </c>
      <c r="L96" s="29">
        <v>0</v>
      </c>
      <c r="M96" s="37">
        <f>S96*Summary!$H$27</f>
        <v>0</v>
      </c>
      <c r="N96" s="37">
        <f>T96*Summary!$H$25</f>
        <v>0</v>
      </c>
      <c r="O96" s="34">
        <f>(VLOOKUP(C96,'List Data'!A$106:B$109,2,0))*B96</f>
        <v>0</v>
      </c>
      <c r="P96" s="26">
        <f>VLOOKUP(K96,'List Data'!A$2:C$94,3,0)</f>
        <v>0</v>
      </c>
      <c r="Q96" s="26" t="str">
        <f>VLOOKUP(K96,'List Data'!A$2:B$94,2,0)</f>
        <v>--------</v>
      </c>
      <c r="R96" s="26">
        <f t="shared" si="10"/>
        <v>0</v>
      </c>
      <c r="S96" s="26">
        <f t="shared" si="11"/>
        <v>0</v>
      </c>
      <c r="T96" s="26">
        <f t="shared" si="12"/>
        <v>0</v>
      </c>
      <c r="U96" s="26">
        <f>(IF(AND((P96="OP"),(J96="Child (0-7 years)")),VLOOKUP(R96,'OP Values'!$A$1:$Q$35,7),))*I96</f>
        <v>0</v>
      </c>
      <c r="V96" s="26">
        <f>(IF(P96="OP",VLOOKUP($R96,'OP Values'!$A$1:$Q$35,17),))*I96</f>
        <v>0</v>
      </c>
      <c r="W96" s="26">
        <f>(IF(AND((P96="Pb"),(J96="Child (0-7 years)")),(VLOOKUP(R96,Pb!$C$2:$AV$103,11)),0))*I96</f>
        <v>0</v>
      </c>
      <c r="X96" s="26">
        <f>(IF(AND((P96="Pb"),(J96="Child (0-7 years)")),(VLOOKUP(R96,Pb!$C$2:$AV$103,20)),0))*I96</f>
        <v>0</v>
      </c>
      <c r="Y96" s="26">
        <f>(IF(AND((P96="Pb"),(J96="Adult (&gt; 15 years)")),(VLOOKUP(R96,Pb!$C$2:$AV$103,46)),0))*I96</f>
        <v>0</v>
      </c>
      <c r="Z96" s="26">
        <f>(IF(AND((P96="Hg"),(J96="Child (0-7 years)")),(VLOOKUP(R96,'Hg Values'!$A$1:$M$30,3)),0))*I96</f>
        <v>0</v>
      </c>
      <c r="AA96" s="26">
        <f>(IF(AND((P96="Hg"),(J96="Child (0-7 years)")),(VLOOKUP(R96,'Hg Values'!$A$1:$M$30,13)),0))*I96</f>
        <v>0</v>
      </c>
      <c r="AB96" s="5">
        <f>(((IF(AND((P96="CA"),(J96="Adult (&gt; 15 years)")),((R96*1)/70)*(VLOOKUP(K96,CA_ingestion!A$1:J$78,4,0)),0))))/11</f>
        <v>0</v>
      </c>
      <c r="AC96" s="5">
        <f t="shared" si="13"/>
        <v>0</v>
      </c>
      <c r="AD96" s="5">
        <f>((IF(AND((P96="CA"),(J96="Adult (&gt; 15 years)")),(AC96*(VLOOKUP(K96,CA_ingestion!A$1:J$78,10,0))),0)))</f>
        <v>0</v>
      </c>
      <c r="AE96" s="5">
        <f t="shared" si="14"/>
        <v>0</v>
      </c>
      <c r="AF96" s="5">
        <f t="shared" si="15"/>
        <v>0</v>
      </c>
    </row>
    <row r="97" spans="1:32" ht="15.5">
      <c r="A97" s="29"/>
      <c r="B97" s="29">
        <v>0</v>
      </c>
      <c r="C97" s="29" t="s">
        <v>369</v>
      </c>
      <c r="D97" s="29"/>
      <c r="E97" s="29"/>
      <c r="F97" s="26" t="str">
        <f>Summary!C$23</f>
        <v>Afghanistan</v>
      </c>
      <c r="G97" s="29"/>
      <c r="H97" s="29" t="s">
        <v>369</v>
      </c>
      <c r="I97" s="33">
        <f>VLOOKUP(H97,'List Data'!$A$100:$B$104,2,0)</f>
        <v>0</v>
      </c>
      <c r="J97" s="29" t="s">
        <v>213</v>
      </c>
      <c r="K97" s="29" t="s">
        <v>213</v>
      </c>
      <c r="L97" s="29">
        <v>0</v>
      </c>
      <c r="M97" s="37">
        <f>S97*Summary!$H$27</f>
        <v>0</v>
      </c>
      <c r="N97" s="37">
        <f>T97*Summary!$H$25</f>
        <v>0</v>
      </c>
      <c r="O97" s="34">
        <f>(VLOOKUP(C97,'List Data'!A$106:B$109,2,0))*B97</f>
        <v>0</v>
      </c>
      <c r="P97" s="26">
        <f>VLOOKUP(K97,'List Data'!A$2:C$94,3,0)</f>
        <v>0</v>
      </c>
      <c r="Q97" s="26" t="str">
        <f>VLOOKUP(K97,'List Data'!A$2:B$94,2,0)</f>
        <v>--------</v>
      </c>
      <c r="R97" s="26">
        <f t="shared" si="10"/>
        <v>0</v>
      </c>
      <c r="S97" s="26">
        <f t="shared" si="11"/>
        <v>0</v>
      </c>
      <c r="T97" s="26">
        <f t="shared" si="12"/>
        <v>0</v>
      </c>
      <c r="U97" s="26">
        <f>(IF(AND((P97="OP"),(J97="Child (0-7 years)")),VLOOKUP(R97,'OP Values'!$A$1:$Q$35,7),))*I97</f>
        <v>0</v>
      </c>
      <c r="V97" s="26">
        <f>(IF(P97="OP",VLOOKUP($R97,'OP Values'!$A$1:$Q$35,17),))*I97</f>
        <v>0</v>
      </c>
      <c r="W97" s="26">
        <f>(IF(AND((P97="Pb"),(J97="Child (0-7 years)")),(VLOOKUP(R97,Pb!$C$2:$AV$103,11)),0))*I97</f>
        <v>0</v>
      </c>
      <c r="X97" s="26">
        <f>(IF(AND((P97="Pb"),(J97="Child (0-7 years)")),(VLOOKUP(R97,Pb!$C$2:$AV$103,20)),0))*I97</f>
        <v>0</v>
      </c>
      <c r="Y97" s="26">
        <f>(IF(AND((P97="Pb"),(J97="Adult (&gt; 15 years)")),(VLOOKUP(R97,Pb!$C$2:$AV$103,46)),0))*I97</f>
        <v>0</v>
      </c>
      <c r="Z97" s="26">
        <f>(IF(AND((P97="Hg"),(J97="Child (0-7 years)")),(VLOOKUP(R97,'Hg Values'!$A$1:$M$30,3)),0))*I97</f>
        <v>0</v>
      </c>
      <c r="AA97" s="26">
        <f>(IF(AND((P97="Hg"),(J97="Child (0-7 years)")),(VLOOKUP(R97,'Hg Values'!$A$1:$M$30,13)),0))*I97</f>
        <v>0</v>
      </c>
      <c r="AB97" s="5">
        <f>(((IF(AND((P97="CA"),(J97="Adult (&gt; 15 years)")),((R97*1)/70)*(VLOOKUP(K97,CA_ingestion!A$1:J$78,4,0)),0))))/11</f>
        <v>0</v>
      </c>
      <c r="AC97" s="5">
        <f t="shared" si="13"/>
        <v>0</v>
      </c>
      <c r="AD97" s="5">
        <f>((IF(AND((P97="CA"),(J97="Adult (&gt; 15 years)")),(AC97*(VLOOKUP(K97,CA_ingestion!A$1:J$78,10,0))),0)))</f>
        <v>0</v>
      </c>
      <c r="AE97" s="5">
        <f t="shared" si="14"/>
        <v>0</v>
      </c>
      <c r="AF97" s="5">
        <f t="shared" si="15"/>
        <v>0</v>
      </c>
    </row>
    <row r="98" spans="1:32" ht="15.5">
      <c r="A98" s="29"/>
      <c r="B98" s="29">
        <v>0</v>
      </c>
      <c r="C98" s="29" t="s">
        <v>369</v>
      </c>
      <c r="D98" s="29"/>
      <c r="E98" s="29"/>
      <c r="F98" s="26" t="str">
        <f>Summary!C$23</f>
        <v>Afghanistan</v>
      </c>
      <c r="G98" s="29"/>
      <c r="H98" s="29" t="s">
        <v>369</v>
      </c>
      <c r="I98" s="33">
        <f>VLOOKUP(H98,'List Data'!$A$100:$B$104,2,0)</f>
        <v>0</v>
      </c>
      <c r="J98" s="29" t="s">
        <v>213</v>
      </c>
      <c r="K98" s="29" t="s">
        <v>213</v>
      </c>
      <c r="L98" s="29">
        <v>0</v>
      </c>
      <c r="M98" s="37">
        <f>S98*Summary!$H$27</f>
        <v>0</v>
      </c>
      <c r="N98" s="37">
        <f>T98*Summary!$H$25</f>
        <v>0</v>
      </c>
      <c r="O98" s="34">
        <f>(VLOOKUP(C98,'List Data'!A$106:B$109,2,0))*B98</f>
        <v>0</v>
      </c>
      <c r="P98" s="26">
        <f>VLOOKUP(K98,'List Data'!A$2:C$94,3,0)</f>
        <v>0</v>
      </c>
      <c r="Q98" s="26" t="str">
        <f>VLOOKUP(K98,'List Data'!A$2:B$94,2,0)</f>
        <v>--------</v>
      </c>
      <c r="R98" s="26">
        <f t="shared" si="10"/>
        <v>0</v>
      </c>
      <c r="S98" s="26">
        <f t="shared" si="11"/>
        <v>0</v>
      </c>
      <c r="T98" s="26">
        <f t="shared" si="12"/>
        <v>0</v>
      </c>
      <c r="U98" s="26">
        <f>(IF(AND((P98="OP"),(J98="Child (0-7 years)")),VLOOKUP(R98,'OP Values'!$A$1:$Q$35,7),))*I98</f>
        <v>0</v>
      </c>
      <c r="V98" s="26">
        <f>(IF(P98="OP",VLOOKUP($R98,'OP Values'!$A$1:$Q$35,17),))*I98</f>
        <v>0</v>
      </c>
      <c r="W98" s="26">
        <f>(IF(AND((P98="Pb"),(J98="Child (0-7 years)")),(VLOOKUP(R98,Pb!$C$2:$AV$103,11)),0))*I98</f>
        <v>0</v>
      </c>
      <c r="X98" s="26">
        <f>(IF(AND((P98="Pb"),(J98="Child (0-7 years)")),(VLOOKUP(R98,Pb!$C$2:$AV$103,20)),0))*I98</f>
        <v>0</v>
      </c>
      <c r="Y98" s="26">
        <f>(IF(AND((P98="Pb"),(J98="Adult (&gt; 15 years)")),(VLOOKUP(R98,Pb!$C$2:$AV$103,46)),0))*I98</f>
        <v>0</v>
      </c>
      <c r="Z98" s="26">
        <f>(IF(AND((P98="Hg"),(J98="Child (0-7 years)")),(VLOOKUP(R98,'Hg Values'!$A$1:$M$30,3)),0))*I98</f>
        <v>0</v>
      </c>
      <c r="AA98" s="26">
        <f>(IF(AND((P98="Hg"),(J98="Child (0-7 years)")),(VLOOKUP(R98,'Hg Values'!$A$1:$M$30,13)),0))*I98</f>
        <v>0</v>
      </c>
      <c r="AB98" s="5">
        <f>(((IF(AND((P98="CA"),(J98="Adult (&gt; 15 years)")),((R98*1)/70)*(VLOOKUP(K98,CA_ingestion!A$1:J$78,4,0)),0))))/11</f>
        <v>0</v>
      </c>
      <c r="AC98" s="5">
        <f t="shared" si="13"/>
        <v>0</v>
      </c>
      <c r="AD98" s="5">
        <f>((IF(AND((P98="CA"),(J98="Adult (&gt; 15 years)")),(AC98*(VLOOKUP(K98,CA_ingestion!A$1:J$78,10,0))),0)))</f>
        <v>0</v>
      </c>
      <c r="AE98" s="5">
        <f t="shared" si="14"/>
        <v>0</v>
      </c>
      <c r="AF98" s="5">
        <f t="shared" si="15"/>
        <v>0</v>
      </c>
    </row>
    <row r="99" spans="1:32" ht="15.5">
      <c r="A99" s="29"/>
      <c r="B99" s="29">
        <v>0</v>
      </c>
      <c r="C99" s="29" t="s">
        <v>369</v>
      </c>
      <c r="D99" s="29"/>
      <c r="E99" s="29"/>
      <c r="F99" s="26" t="str">
        <f>Summary!C$23</f>
        <v>Afghanistan</v>
      </c>
      <c r="G99" s="29"/>
      <c r="H99" s="29" t="s">
        <v>369</v>
      </c>
      <c r="I99" s="33">
        <f>VLOOKUP(H99,'List Data'!$A$100:$B$104,2,0)</f>
        <v>0</v>
      </c>
      <c r="J99" s="29" t="s">
        <v>213</v>
      </c>
      <c r="K99" s="29" t="s">
        <v>213</v>
      </c>
      <c r="L99" s="29">
        <v>0</v>
      </c>
      <c r="M99" s="37">
        <f>S99*Summary!$H$27</f>
        <v>0</v>
      </c>
      <c r="N99" s="37">
        <f>T99*Summary!$H$25</f>
        <v>0</v>
      </c>
      <c r="O99" s="34">
        <f>(VLOOKUP(C99,'List Data'!A$106:B$109,2,0))*B99</f>
        <v>0</v>
      </c>
      <c r="P99" s="26">
        <f>VLOOKUP(K99,'List Data'!A$2:C$94,3,0)</f>
        <v>0</v>
      </c>
      <c r="Q99" s="26" t="str">
        <f>VLOOKUP(K99,'List Data'!A$2:B$94,2,0)</f>
        <v>--------</v>
      </c>
      <c r="R99" s="26">
        <f t="shared" si="10"/>
        <v>0</v>
      </c>
      <c r="S99" s="26">
        <f t="shared" si="11"/>
        <v>0</v>
      </c>
      <c r="T99" s="26">
        <f t="shared" si="12"/>
        <v>0</v>
      </c>
      <c r="U99" s="26">
        <f>(IF(AND((P99="OP"),(J99="Child (0-7 years)")),VLOOKUP(R99,'OP Values'!$A$1:$Q$35,7),))*I99</f>
        <v>0</v>
      </c>
      <c r="V99" s="26">
        <f>(IF(P99="OP",VLOOKUP($R99,'OP Values'!$A$1:$Q$35,17),))*I99</f>
        <v>0</v>
      </c>
      <c r="W99" s="26">
        <f>(IF(AND((P99="Pb"),(J99="Child (0-7 years)")),(VLOOKUP(R99,Pb!$C$2:$AV$103,11)),0))*I99</f>
        <v>0</v>
      </c>
      <c r="X99" s="26">
        <f>(IF(AND((P99="Pb"),(J99="Child (0-7 years)")),(VLOOKUP(R99,Pb!$C$2:$AV$103,20)),0))*I99</f>
        <v>0</v>
      </c>
      <c r="Y99" s="26">
        <f>(IF(AND((P99="Pb"),(J99="Adult (&gt; 15 years)")),(VLOOKUP(R99,Pb!$C$2:$AV$103,46)),0))*I99</f>
        <v>0</v>
      </c>
      <c r="Z99" s="26">
        <f>(IF(AND((P99="Hg"),(J99="Child (0-7 years)")),(VLOOKUP(R99,'Hg Values'!$A$1:$M$30,3)),0))*I99</f>
        <v>0</v>
      </c>
      <c r="AA99" s="26">
        <f>(IF(AND((P99="Hg"),(J99="Child (0-7 years)")),(VLOOKUP(R99,'Hg Values'!$A$1:$M$30,13)),0))*I99</f>
        <v>0</v>
      </c>
      <c r="AB99" s="5">
        <f>(((IF(AND((P99="CA"),(J99="Adult (&gt; 15 years)")),((R99*1)/70)*(VLOOKUP(K99,CA_ingestion!A$1:J$78,4,0)),0))))/11</f>
        <v>0</v>
      </c>
      <c r="AC99" s="5">
        <f t="shared" si="13"/>
        <v>0</v>
      </c>
      <c r="AD99" s="5">
        <f>((IF(AND((P99="CA"),(J99="Adult (&gt; 15 years)")),(AC99*(VLOOKUP(K99,CA_ingestion!A$1:J$78,10,0))),0)))</f>
        <v>0</v>
      </c>
      <c r="AE99" s="5">
        <f t="shared" si="14"/>
        <v>0</v>
      </c>
      <c r="AF99" s="5">
        <f t="shared" si="15"/>
        <v>0</v>
      </c>
    </row>
    <row r="100" spans="1:32" ht="15.5">
      <c r="A100" s="29"/>
      <c r="B100" s="29">
        <v>0</v>
      </c>
      <c r="C100" s="29" t="s">
        <v>369</v>
      </c>
      <c r="D100" s="29"/>
      <c r="E100" s="29"/>
      <c r="F100" s="26" t="str">
        <f>Summary!C$23</f>
        <v>Afghanistan</v>
      </c>
      <c r="G100" s="29"/>
      <c r="H100" s="29" t="s">
        <v>369</v>
      </c>
      <c r="I100" s="33">
        <f>VLOOKUP(H100,'List Data'!$A$100:$B$104,2,0)</f>
        <v>0</v>
      </c>
      <c r="J100" s="29" t="s">
        <v>213</v>
      </c>
      <c r="K100" s="29" t="s">
        <v>213</v>
      </c>
      <c r="L100" s="29">
        <v>0</v>
      </c>
      <c r="M100" s="37">
        <f>S100*Summary!$H$27</f>
        <v>0</v>
      </c>
      <c r="N100" s="37">
        <f>T100*Summary!$H$25</f>
        <v>0</v>
      </c>
      <c r="O100" s="34">
        <f>(VLOOKUP(C100,'List Data'!A$106:B$109,2,0))*B100</f>
        <v>0</v>
      </c>
      <c r="P100" s="26">
        <f>VLOOKUP(K100,'List Data'!A$2:C$94,3,0)</f>
        <v>0</v>
      </c>
      <c r="Q100" s="26" t="str">
        <f>VLOOKUP(K100,'List Data'!A$2:B$94,2,0)</f>
        <v>--------</v>
      </c>
      <c r="R100" s="26">
        <f t="shared" si="10"/>
        <v>0</v>
      </c>
      <c r="S100" s="26">
        <f t="shared" si="11"/>
        <v>0</v>
      </c>
      <c r="T100" s="26">
        <f t="shared" si="12"/>
        <v>0</v>
      </c>
      <c r="U100" s="26">
        <f>(IF(AND((P100="OP"),(J100="Child (0-7 years)")),VLOOKUP(R100,'OP Values'!$A$1:$Q$35,7),))*I100</f>
        <v>0</v>
      </c>
      <c r="V100" s="26">
        <f>(IF(P100="OP",VLOOKUP($R100,'OP Values'!$A$1:$Q$35,17),))*I100</f>
        <v>0</v>
      </c>
      <c r="W100" s="26">
        <f>(IF(AND((P100="Pb"),(J100="Child (0-7 years)")),(VLOOKUP(R100,Pb!$C$2:$AV$103,11)),0))*I100</f>
        <v>0</v>
      </c>
      <c r="X100" s="26">
        <f>(IF(AND((P100="Pb"),(J100="Child (0-7 years)")),(VLOOKUP(R100,Pb!$C$2:$AV$103,20)),0))*I100</f>
        <v>0</v>
      </c>
      <c r="Y100" s="26">
        <f>(IF(AND((P100="Pb"),(J100="Adult (&gt; 15 years)")),(VLOOKUP(R100,Pb!$C$2:$AV$103,46)),0))*I100</f>
        <v>0</v>
      </c>
      <c r="Z100" s="26">
        <f>(IF(AND((P100="Hg"),(J100="Child (0-7 years)")),(VLOOKUP(R100,'Hg Values'!$A$1:$M$30,3)),0))*I100</f>
        <v>0</v>
      </c>
      <c r="AA100" s="26">
        <f>(IF(AND((P100="Hg"),(J100="Child (0-7 years)")),(VLOOKUP(R100,'Hg Values'!$A$1:$M$30,13)),0))*I100</f>
        <v>0</v>
      </c>
      <c r="AB100" s="5">
        <f>(((IF(AND((P100="CA"),(J100="Adult (&gt; 15 years)")),((R100*1)/70)*(VLOOKUP(K100,CA_ingestion!A$1:J$78,4,0)),0))))/11</f>
        <v>0</v>
      </c>
      <c r="AC100" s="5">
        <f t="shared" si="13"/>
        <v>0</v>
      </c>
      <c r="AD100" s="5">
        <f>((IF(AND((P100="CA"),(J100="Adult (&gt; 15 years)")),(AC100*(VLOOKUP(K100,CA_ingestion!A$1:J$78,10,0))),0)))</f>
        <v>0</v>
      </c>
      <c r="AE100" s="5">
        <f t="shared" si="14"/>
        <v>0</v>
      </c>
      <c r="AF100" s="5">
        <f t="shared" si="15"/>
        <v>0</v>
      </c>
    </row>
    <row r="101" spans="1:32" ht="15.5">
      <c r="A101" s="29"/>
      <c r="B101" s="29">
        <v>0</v>
      </c>
      <c r="C101" s="29" t="s">
        <v>369</v>
      </c>
      <c r="D101" s="29"/>
      <c r="E101" s="29"/>
      <c r="F101" s="26" t="str">
        <f>Summary!C$23</f>
        <v>Afghanistan</v>
      </c>
      <c r="G101" s="29"/>
      <c r="H101" s="29" t="s">
        <v>369</v>
      </c>
      <c r="I101" s="33">
        <f>VLOOKUP(H101,'List Data'!$A$100:$B$104,2,0)</f>
        <v>0</v>
      </c>
      <c r="J101" s="29" t="s">
        <v>213</v>
      </c>
      <c r="K101" s="29" t="s">
        <v>213</v>
      </c>
      <c r="L101" s="29">
        <v>0</v>
      </c>
      <c r="M101" s="37">
        <f>S101*Summary!$H$27</f>
        <v>0</v>
      </c>
      <c r="N101" s="37">
        <f>T101*Summary!$H$25</f>
        <v>0</v>
      </c>
      <c r="O101" s="34">
        <f>(VLOOKUP(C101,'List Data'!A$106:B$109,2,0))*B101</f>
        <v>0</v>
      </c>
      <c r="P101" s="26">
        <f>VLOOKUP(K101,'List Data'!A$2:C$94,3,0)</f>
        <v>0</v>
      </c>
      <c r="Q101" s="26" t="str">
        <f>VLOOKUP(K101,'List Data'!A$2:B$94,2,0)</f>
        <v>--------</v>
      </c>
      <c r="R101" s="26">
        <f t="shared" si="10"/>
        <v>0</v>
      </c>
      <c r="S101" s="26">
        <f t="shared" si="11"/>
        <v>0</v>
      </c>
      <c r="T101" s="26">
        <f t="shared" si="12"/>
        <v>0</v>
      </c>
      <c r="U101" s="26">
        <f>(IF(AND((P101="OP"),(J101="Child (0-7 years)")),VLOOKUP(R101,'OP Values'!$A$1:$Q$35,7),))*I101</f>
        <v>0</v>
      </c>
      <c r="V101" s="26">
        <f>(IF(P101="OP",VLOOKUP($R101,'OP Values'!$A$1:$Q$35,17),))*I101</f>
        <v>0</v>
      </c>
      <c r="W101" s="26">
        <f>(IF(AND((P101="Pb"),(J101="Child (0-7 years)")),(VLOOKUP(R101,Pb!$C$2:$AV$103,11)),0))*I101</f>
        <v>0</v>
      </c>
      <c r="X101" s="26">
        <f>(IF(AND((P101="Pb"),(J101="Child (0-7 years)")),(VLOOKUP(R101,Pb!$C$2:$AV$103,20)),0))*I101</f>
        <v>0</v>
      </c>
      <c r="Y101" s="26">
        <f>(IF(AND((P101="Pb"),(J101="Adult (&gt; 15 years)")),(VLOOKUP(R101,Pb!$C$2:$AV$103,46)),0))*I101</f>
        <v>0</v>
      </c>
      <c r="Z101" s="26">
        <f>(IF(AND((P101="Hg"),(J101="Child (0-7 years)")),(VLOOKUP(R101,'Hg Values'!$A$1:$M$30,3)),0))*I101</f>
        <v>0</v>
      </c>
      <c r="AA101" s="26">
        <f>(IF(AND((P101="Hg"),(J101="Child (0-7 years)")),(VLOOKUP(R101,'Hg Values'!$A$1:$M$30,13)),0))*I101</f>
        <v>0</v>
      </c>
      <c r="AB101" s="5">
        <f>(((IF(AND((P101="CA"),(J101="Adult (&gt; 15 years)")),((R101*1)/70)*(VLOOKUP(K101,CA_ingestion!A$1:J$78,4,0)),0))))/11</f>
        <v>0</v>
      </c>
      <c r="AC101" s="5">
        <f t="shared" si="13"/>
        <v>0</v>
      </c>
      <c r="AD101" s="5">
        <f>((IF(AND((P101="CA"),(J101="Adult (&gt; 15 years)")),(AC101*(VLOOKUP(K101,CA_ingestion!A$1:J$78,10,0))),0)))</f>
        <v>0</v>
      </c>
      <c r="AE101" s="5">
        <f t="shared" si="14"/>
        <v>0</v>
      </c>
      <c r="AF101" s="5">
        <f t="shared" si="15"/>
        <v>0</v>
      </c>
    </row>
    <row r="102" spans="1:32" ht="15.5">
      <c r="A102" s="29"/>
      <c r="B102" s="29">
        <v>0</v>
      </c>
      <c r="C102" s="29" t="s">
        <v>369</v>
      </c>
      <c r="D102" s="29"/>
      <c r="E102" s="29"/>
      <c r="F102" s="26" t="str">
        <f>Summary!C$23</f>
        <v>Afghanistan</v>
      </c>
      <c r="G102" s="29"/>
      <c r="H102" s="29" t="s">
        <v>369</v>
      </c>
      <c r="I102" s="33">
        <f>VLOOKUP(H102,'List Data'!$A$100:$B$104,2,0)</f>
        <v>0</v>
      </c>
      <c r="J102" s="29" t="s">
        <v>213</v>
      </c>
      <c r="K102" s="29" t="s">
        <v>213</v>
      </c>
      <c r="L102" s="29">
        <v>0</v>
      </c>
      <c r="M102" s="37">
        <f>S102*Summary!$H$27</f>
        <v>0</v>
      </c>
      <c r="N102" s="37">
        <f>T102*Summary!$H$25</f>
        <v>0</v>
      </c>
      <c r="O102" s="34">
        <f>(VLOOKUP(C102,'List Data'!A$106:B$109,2,0))*B102</f>
        <v>0</v>
      </c>
      <c r="P102" s="26">
        <f>VLOOKUP(K102,'List Data'!A$2:C$94,3,0)</f>
        <v>0</v>
      </c>
      <c r="Q102" s="26" t="str">
        <f>VLOOKUP(K102,'List Data'!A$2:B$94,2,0)</f>
        <v>--------</v>
      </c>
      <c r="R102" s="26">
        <f t="shared" si="10"/>
        <v>0</v>
      </c>
      <c r="S102" s="26">
        <f t="shared" si="11"/>
        <v>0</v>
      </c>
      <c r="T102" s="26">
        <f t="shared" si="12"/>
        <v>0</v>
      </c>
      <c r="U102" s="26">
        <f>(IF(AND((P102="OP"),(J102="Child (0-7 years)")),VLOOKUP(R102,'OP Values'!$A$1:$Q$35,7),))*I102</f>
        <v>0</v>
      </c>
      <c r="V102" s="26">
        <f>(IF(P102="OP",VLOOKUP($R102,'OP Values'!$A$1:$Q$35,17),))*I102</f>
        <v>0</v>
      </c>
      <c r="W102" s="26">
        <f>(IF(AND((P102="Pb"),(J102="Child (0-7 years)")),(VLOOKUP(R102,Pb!$C$2:$AV$103,11)),0))*I102</f>
        <v>0</v>
      </c>
      <c r="X102" s="26">
        <f>(IF(AND((P102="Pb"),(J102="Child (0-7 years)")),(VLOOKUP(R102,Pb!$C$2:$AV$103,20)),0))*I102</f>
        <v>0</v>
      </c>
      <c r="Y102" s="26">
        <f>(IF(AND((P102="Pb"),(J102="Adult (&gt; 15 years)")),(VLOOKUP(R102,Pb!$C$2:$AV$103,46)),0))*I102</f>
        <v>0</v>
      </c>
      <c r="Z102" s="26">
        <f>(IF(AND((P102="Hg"),(J102="Child (0-7 years)")),(VLOOKUP(R102,'Hg Values'!$A$1:$M$30,3)),0))*I102</f>
        <v>0</v>
      </c>
      <c r="AA102" s="26">
        <f>(IF(AND((P102="Hg"),(J102="Child (0-7 years)")),(VLOOKUP(R102,'Hg Values'!$A$1:$M$30,13)),0))*I102</f>
        <v>0</v>
      </c>
      <c r="AB102" s="5">
        <f>(((IF(AND((P102="CA"),(J102="Adult (&gt; 15 years)")),((R102*1)/70)*(VLOOKUP(K102,CA_ingestion!A$1:J$78,4,0)),0))))/11</f>
        <v>0</v>
      </c>
      <c r="AC102" s="5">
        <f t="shared" si="13"/>
        <v>0</v>
      </c>
      <c r="AD102" s="5">
        <f>((IF(AND((P102="CA"),(J102="Adult (&gt; 15 years)")),(AC102*(VLOOKUP(K102,CA_ingestion!A$1:J$78,10,0))),0)))</f>
        <v>0</v>
      </c>
      <c r="AE102" s="5">
        <f t="shared" si="14"/>
        <v>0</v>
      </c>
      <c r="AF102" s="5">
        <f t="shared" si="15"/>
        <v>0</v>
      </c>
    </row>
    <row r="103" spans="1:32" ht="15.5">
      <c r="A103" s="29"/>
      <c r="B103" s="29">
        <v>0</v>
      </c>
      <c r="C103" s="29" t="s">
        <v>369</v>
      </c>
      <c r="D103" s="29"/>
      <c r="E103" s="29"/>
      <c r="F103" s="26" t="str">
        <f>Summary!C$23</f>
        <v>Afghanistan</v>
      </c>
      <c r="G103" s="29"/>
      <c r="H103" s="29" t="s">
        <v>369</v>
      </c>
      <c r="I103" s="33">
        <f>VLOOKUP(H103,'List Data'!$A$100:$B$104,2,0)</f>
        <v>0</v>
      </c>
      <c r="J103" s="29" t="s">
        <v>213</v>
      </c>
      <c r="K103" s="29" t="s">
        <v>213</v>
      </c>
      <c r="L103" s="29">
        <v>0</v>
      </c>
      <c r="M103" s="37">
        <f>S103*Summary!$H$27</f>
        <v>0</v>
      </c>
      <c r="N103" s="37">
        <f>T103*Summary!$H$25</f>
        <v>0</v>
      </c>
      <c r="O103" s="34">
        <f>(VLOOKUP(C103,'List Data'!A$106:B$109,2,0))*B103</f>
        <v>0</v>
      </c>
      <c r="P103" s="26">
        <f>VLOOKUP(K103,'List Data'!A$2:C$94,3,0)</f>
        <v>0</v>
      </c>
      <c r="Q103" s="26" t="str">
        <f>VLOOKUP(K103,'List Data'!A$2:B$94,2,0)</f>
        <v>--------</v>
      </c>
      <c r="R103" s="26">
        <f t="shared" si="10"/>
        <v>0</v>
      </c>
      <c r="S103" s="26">
        <f t="shared" si="11"/>
        <v>0</v>
      </c>
      <c r="T103" s="26">
        <f t="shared" si="12"/>
        <v>0</v>
      </c>
      <c r="U103" s="26">
        <f>(IF(AND((P103="OP"),(J103="Child (0-7 years)")),VLOOKUP(R103,'OP Values'!$A$1:$Q$35,7),))*I103</f>
        <v>0</v>
      </c>
      <c r="V103" s="26">
        <f>(IF(P103="OP",VLOOKUP($R103,'OP Values'!$A$1:$Q$35,17),))*I103</f>
        <v>0</v>
      </c>
      <c r="W103" s="26">
        <f>(IF(AND((P103="Pb"),(J103="Child (0-7 years)")),(VLOOKUP(R103,Pb!$C$2:$AV$103,11)),0))*I103</f>
        <v>0</v>
      </c>
      <c r="X103" s="26">
        <f>(IF(AND((P103="Pb"),(J103="Child (0-7 years)")),(VLOOKUP(R103,Pb!$C$2:$AV$103,20)),0))*I103</f>
        <v>0</v>
      </c>
      <c r="Y103" s="26">
        <f>(IF(AND((P103="Pb"),(J103="Adult (&gt; 15 years)")),(VLOOKUP(R103,Pb!$C$2:$AV$103,46)),0))*I103</f>
        <v>0</v>
      </c>
      <c r="Z103" s="26">
        <f>(IF(AND((P103="Hg"),(J103="Child (0-7 years)")),(VLOOKUP(R103,'Hg Values'!$A$1:$M$30,3)),0))*I103</f>
        <v>0</v>
      </c>
      <c r="AA103" s="26">
        <f>(IF(AND((P103="Hg"),(J103="Child (0-7 years)")),(VLOOKUP(R103,'Hg Values'!$A$1:$M$30,13)),0))*I103</f>
        <v>0</v>
      </c>
      <c r="AB103" s="5">
        <f>(((IF(AND((P103="CA"),(J103="Adult (&gt; 15 years)")),((R103*1)/70)*(VLOOKUP(K103,CA_ingestion!A$1:J$78,4,0)),0))))/11</f>
        <v>0</v>
      </c>
      <c r="AC103" s="5">
        <f t="shared" si="13"/>
        <v>0</v>
      </c>
      <c r="AD103" s="5">
        <f>((IF(AND((P103="CA"),(J103="Adult (&gt; 15 years)")),(AC103*(VLOOKUP(K103,CA_ingestion!A$1:J$78,10,0))),0)))</f>
        <v>0</v>
      </c>
      <c r="AE103" s="5">
        <f t="shared" si="14"/>
        <v>0</v>
      </c>
      <c r="AF103" s="5">
        <f t="shared" si="15"/>
        <v>0</v>
      </c>
    </row>
    <row r="104" spans="1:32" ht="15.5">
      <c r="A104" s="29"/>
      <c r="B104" s="29">
        <v>0</v>
      </c>
      <c r="C104" s="29" t="s">
        <v>369</v>
      </c>
      <c r="D104" s="29"/>
      <c r="E104" s="29"/>
      <c r="F104" s="26" t="str">
        <f>Summary!C$23</f>
        <v>Afghanistan</v>
      </c>
      <c r="G104" s="29"/>
      <c r="H104" s="29" t="s">
        <v>369</v>
      </c>
      <c r="I104" s="33">
        <f>VLOOKUP(H104,'List Data'!$A$100:$B$104,2,0)</f>
        <v>0</v>
      </c>
      <c r="J104" s="29" t="s">
        <v>213</v>
      </c>
      <c r="K104" s="29" t="s">
        <v>213</v>
      </c>
      <c r="L104" s="29">
        <v>0</v>
      </c>
      <c r="M104" s="37">
        <f>S104*Summary!$H$27</f>
        <v>0</v>
      </c>
      <c r="N104" s="37">
        <f>T104*Summary!$H$25</f>
        <v>0</v>
      </c>
      <c r="O104" s="34">
        <f>(VLOOKUP(C104,'List Data'!A$106:B$109,2,0))*B104</f>
        <v>0</v>
      </c>
      <c r="P104" s="26">
        <f>VLOOKUP(K104,'List Data'!A$2:C$94,3,0)</f>
        <v>0</v>
      </c>
      <c r="Q104" s="26" t="str">
        <f>VLOOKUP(K104,'List Data'!A$2:B$94,2,0)</f>
        <v>--------</v>
      </c>
      <c r="R104" s="26">
        <f t="shared" si="10"/>
        <v>0</v>
      </c>
      <c r="S104" s="26">
        <f t="shared" si="11"/>
        <v>0</v>
      </c>
      <c r="T104" s="26">
        <f t="shared" si="12"/>
        <v>0</v>
      </c>
      <c r="U104" s="26">
        <f>(IF(AND((P104="OP"),(J104="Child (0-7 years)")),VLOOKUP(R104,'OP Values'!$A$1:$Q$35,7),))*I104</f>
        <v>0</v>
      </c>
      <c r="V104" s="26">
        <f>(IF(P104="OP",VLOOKUP($R104,'OP Values'!$A$1:$Q$35,17),))*I104</f>
        <v>0</v>
      </c>
      <c r="W104" s="26">
        <f>(IF(AND((P104="Pb"),(J104="Child (0-7 years)")),(VLOOKUP(R104,Pb!$C$2:$AV$103,11)),0))*I104</f>
        <v>0</v>
      </c>
      <c r="X104" s="26">
        <f>(IF(AND((P104="Pb"),(J104="Child (0-7 years)")),(VLOOKUP(R104,Pb!$C$2:$AV$103,20)),0))*I104</f>
        <v>0</v>
      </c>
      <c r="Y104" s="26">
        <f>(IF(AND((P104="Pb"),(J104="Adult (&gt; 15 years)")),(VLOOKUP(R104,Pb!$C$2:$AV$103,46)),0))*I104</f>
        <v>0</v>
      </c>
      <c r="Z104" s="26">
        <f>(IF(AND((P104="Hg"),(J104="Child (0-7 years)")),(VLOOKUP(R104,'Hg Values'!$A$1:$M$30,3)),0))*I104</f>
        <v>0</v>
      </c>
      <c r="AA104" s="26">
        <f>(IF(AND((P104="Hg"),(J104="Child (0-7 years)")),(VLOOKUP(R104,'Hg Values'!$A$1:$M$30,13)),0))*I104</f>
        <v>0</v>
      </c>
      <c r="AB104" s="5">
        <f>(((IF(AND((P104="CA"),(J104="Adult (&gt; 15 years)")),((R104*1)/70)*(VLOOKUP(K104,CA_ingestion!A$1:J$78,4,0)),0))))/11</f>
        <v>0</v>
      </c>
      <c r="AC104" s="5">
        <f t="shared" si="13"/>
        <v>0</v>
      </c>
      <c r="AD104" s="5">
        <f>((IF(AND((P104="CA"),(J104="Adult (&gt; 15 years)")),(AC104*(VLOOKUP(K104,CA_ingestion!A$1:J$78,10,0))),0)))</f>
        <v>0</v>
      </c>
      <c r="AE104" s="5">
        <f t="shared" si="14"/>
        <v>0</v>
      </c>
      <c r="AF104" s="5">
        <f t="shared" si="15"/>
        <v>0</v>
      </c>
    </row>
  </sheetData>
  <sheetProtection sheet="1" objects="1" scenarios="1"/>
  <autoFilter ref="A4:T4" xr:uid="{00000000-0009-0000-0000-000001000000}">
    <sortState xmlns:xlrd2="http://schemas.microsoft.com/office/spreadsheetml/2017/richdata2" ref="A5:T12">
      <sortCondition ref="A4:A12"/>
    </sortState>
  </autoFilter>
  <dataValidations count="1">
    <dataValidation type="decimal" allowBlank="1" showInputMessage="1" showErrorMessage="1" sqref="B5:B104 L5:L104" xr:uid="{3CDEB6E6-EE89-46FF-945F-07D107CE9722}">
      <formula1>0</formula1>
      <formula2>10000</formula2>
    </dataValidation>
  </dataValidations>
  <pageMargins left="0.7" right="0.7" top="0.75" bottom="0.75" header="0.3" footer="0.3"/>
  <pageSetup orientation="portrait" horizontalDpi="4294967292" verticalDpi="4294967292"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 Data'!$A$96:$A$98</xm:f>
          </x14:formula1>
          <xm:sqref>J5:J104</xm:sqref>
        </x14:dataValidation>
        <x14:dataValidation type="list" allowBlank="1" showInputMessage="1" showErrorMessage="1" xr:uid="{00000000-0002-0000-0100-000000000000}">
          <x14:formula1>
            <xm:f>'List Data'!$A$2:$A$94</xm:f>
          </x14:formula1>
          <xm:sqref>K5:K104</xm:sqref>
        </x14:dataValidation>
        <x14:dataValidation type="list" allowBlank="1" showInputMessage="1" showErrorMessage="1" xr:uid="{A1652FA7-C888-49DA-A4F3-47DA7CC3A82E}">
          <x14:formula1>
            <xm:f>'List Data'!$A$100:$A$104</xm:f>
          </x14:formula1>
          <xm:sqref>H5:H104</xm:sqref>
        </x14:dataValidation>
        <x14:dataValidation type="list" allowBlank="1" showInputMessage="1" showErrorMessage="1" xr:uid="{641A30AD-FCBA-401C-90EA-3D836E9D14E4}">
          <x14:formula1>
            <xm:f>'List Data'!$A$106:$A$109</xm:f>
          </x14:formula1>
          <xm:sqref>C5:C104</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04"/>
  <sheetViews>
    <sheetView zoomScale="85" zoomScaleNormal="85" workbookViewId="0"/>
  </sheetViews>
  <sheetFormatPr defaultColWidth="11.36328125" defaultRowHeight="14.5"/>
  <cols>
    <col min="1" max="1" width="24.81640625" customWidth="1"/>
    <col min="2" max="2" width="26.1796875" bestFit="1" customWidth="1"/>
    <col min="3" max="3" width="17.26953125" customWidth="1"/>
    <col min="8" max="9" width="15.7265625" bestFit="1" customWidth="1"/>
    <col min="10" max="10" width="19" bestFit="1" customWidth="1"/>
  </cols>
  <sheetData>
    <row r="1" spans="1:31" ht="29.15" customHeight="1">
      <c r="A1" s="2" t="s">
        <v>346</v>
      </c>
    </row>
    <row r="2" spans="1:31" s="4" customFormat="1" ht="15.5">
      <c r="A2" s="4" t="s">
        <v>347</v>
      </c>
      <c r="B2" s="28">
        <f>SUM(R:R)</f>
        <v>0</v>
      </c>
      <c r="C2" s="4" t="s">
        <v>348</v>
      </c>
      <c r="D2" s="28">
        <f>SUM(S:S)</f>
        <v>0</v>
      </c>
    </row>
    <row r="3" spans="1:31" s="4" customFormat="1" ht="15.5">
      <c r="B3" s="28"/>
      <c r="D3" s="28"/>
    </row>
    <row r="4" spans="1:31" s="1" customFormat="1" ht="15.5">
      <c r="A4" s="3" t="s">
        <v>387</v>
      </c>
      <c r="B4" s="3" t="s">
        <v>330</v>
      </c>
      <c r="C4" s="3" t="s">
        <v>332</v>
      </c>
      <c r="D4" s="3" t="s">
        <v>333</v>
      </c>
      <c r="E4" s="3" t="s">
        <v>334</v>
      </c>
      <c r="F4" s="3" t="s">
        <v>335</v>
      </c>
      <c r="G4" s="3" t="s">
        <v>217</v>
      </c>
      <c r="H4" s="3" t="s">
        <v>370</v>
      </c>
      <c r="I4" s="3" t="s">
        <v>218</v>
      </c>
      <c r="J4" s="3" t="s">
        <v>204</v>
      </c>
      <c r="K4" s="3" t="s">
        <v>331</v>
      </c>
      <c r="L4" s="3"/>
      <c r="M4" s="3" t="s">
        <v>391</v>
      </c>
      <c r="N4" s="3" t="s">
        <v>392</v>
      </c>
      <c r="O4" s="3" t="s">
        <v>234</v>
      </c>
      <c r="P4" s="3" t="s">
        <v>212</v>
      </c>
      <c r="Q4" s="3" t="s">
        <v>229</v>
      </c>
      <c r="R4" s="3" t="s">
        <v>278</v>
      </c>
      <c r="S4" s="3" t="s">
        <v>279</v>
      </c>
      <c r="T4" s="3" t="s">
        <v>273</v>
      </c>
      <c r="U4" s="3" t="s">
        <v>271</v>
      </c>
      <c r="V4" s="3" t="s">
        <v>274</v>
      </c>
      <c r="W4" s="3" t="s">
        <v>276</v>
      </c>
      <c r="X4" s="3" t="s">
        <v>277</v>
      </c>
      <c r="Y4" s="3" t="s">
        <v>275</v>
      </c>
      <c r="Z4" s="3" t="s">
        <v>272</v>
      </c>
      <c r="AA4" s="24" t="s">
        <v>328</v>
      </c>
      <c r="AB4" s="24" t="s">
        <v>329</v>
      </c>
      <c r="AC4" s="24" t="s">
        <v>293</v>
      </c>
      <c r="AD4" s="24" t="s">
        <v>296</v>
      </c>
      <c r="AE4" s="24" t="s">
        <v>295</v>
      </c>
    </row>
    <row r="5" spans="1:31" s="1" customFormat="1" ht="15.5">
      <c r="A5" s="29" t="s">
        <v>283</v>
      </c>
      <c r="B5" s="29">
        <v>-1</v>
      </c>
      <c r="C5" s="29"/>
      <c r="D5" s="29"/>
      <c r="E5" s="26" t="str">
        <f>Summary!C$23</f>
        <v>Afghanistan</v>
      </c>
      <c r="F5" s="29"/>
      <c r="G5" s="29" t="s">
        <v>369</v>
      </c>
      <c r="H5" s="33">
        <f>VLOOKUP(G5,'List Data'!$A$100:$B$104,2,0)</f>
        <v>0</v>
      </c>
      <c r="I5" s="29" t="s">
        <v>213</v>
      </c>
      <c r="J5" s="29" t="s">
        <v>213</v>
      </c>
      <c r="K5" s="29">
        <v>0</v>
      </c>
      <c r="L5" s="29"/>
      <c r="M5" s="37">
        <f>R5*Summary!$H$27</f>
        <v>0</v>
      </c>
      <c r="N5" s="37">
        <f>S5*Summary!$H$25</f>
        <v>0</v>
      </c>
      <c r="O5" s="26">
        <f>VLOOKUP(J5,'List Data'!A$2:C$94,3,0)</f>
        <v>0</v>
      </c>
      <c r="P5" s="26" t="str">
        <f>VLOOKUP(J5,'List Data'!A$2:B$94,2,0)</f>
        <v>--------</v>
      </c>
      <c r="Q5" s="26">
        <f>K5*B5/1000</f>
        <v>0</v>
      </c>
      <c r="R5" s="26">
        <f>T5+V5+Y5</f>
        <v>0</v>
      </c>
      <c r="S5" s="26">
        <f>U5+W5+X5+Z5+AE5</f>
        <v>0</v>
      </c>
      <c r="T5" s="26">
        <f>(IF(AND((O5="OP"),(I5="Child (0-7 years)")),VLOOKUP(K5,'OP Values'!$A$1:$Q$35,7),))*H5</f>
        <v>0</v>
      </c>
      <c r="U5" s="26">
        <f>(IF(O5="OP",VLOOKUP($Q5,'OP Values'!$A$1:$Q$35,17),))*H5</f>
        <v>0</v>
      </c>
      <c r="V5" s="26">
        <f>(IF(AND((O5="Pb"),(I5="Child (0-7 years)")),(VLOOKUP(Q5,Pb!$A$1:$AV$103,7)),0))*H5</f>
        <v>0</v>
      </c>
      <c r="W5" s="26">
        <f>(IF(AND((O5="Pb"),(I5="Child (0-7 years)")),(VLOOKUP(Q5,Pb!$C$2:$AV$103,20)),0))*H5</f>
        <v>0</v>
      </c>
      <c r="X5" s="26">
        <f>(IF(AND((O5="Pb"),(I5="Adult (&gt; 15 years)")),(VLOOKUP(Q5,Pb!$A$2:$AV$103,46)),0))*H5</f>
        <v>0</v>
      </c>
      <c r="Y5" s="26">
        <f>(IF(AND((O5="Hg"),(I5="Child (0-7 years)")),(VLOOKUP(Q5,'Hg Values'!$A$1:$M$30,3)),0))*H5</f>
        <v>0</v>
      </c>
      <c r="Z5" s="26">
        <f>(IF(AND((O5="Hg"),(I5="Child (0-7 years)")),(VLOOKUP(Q5,'Hg Values'!$A$1:$M$30,13)),0))*H5</f>
        <v>0</v>
      </c>
      <c r="AA5" s="5">
        <f>(((IF(AND((O5="CA"),(I5="Adult (&gt; 15 years)")),((Q5*1)/70)*(VLOOKUP(J5,CA_ingestion!A$1:J$78,4,0)),0))))/11</f>
        <v>0</v>
      </c>
      <c r="AB5" s="5">
        <f>(IF(AA5&gt;1,1,AA5))*H5</f>
        <v>0</v>
      </c>
      <c r="AC5" s="5">
        <f>((IF(AND((O5="CA"),(I5="Adult (&gt; 15 years)")),(AB5*(VLOOKUP(J5,CA_ingestion!A$1:J$78,10,0))),0)))</f>
        <v>0</v>
      </c>
      <c r="AD5" s="5">
        <f>AB5/2</f>
        <v>0</v>
      </c>
      <c r="AE5" s="5">
        <f>AC5+AD5</f>
        <v>0</v>
      </c>
    </row>
    <row r="6" spans="1:31" ht="15.5">
      <c r="A6" s="29" t="s">
        <v>283</v>
      </c>
      <c r="B6" s="29">
        <v>0</v>
      </c>
      <c r="C6" s="29"/>
      <c r="D6" s="29"/>
      <c r="E6" s="26" t="str">
        <f>Summary!C$23</f>
        <v>Afghanistan</v>
      </c>
      <c r="F6" s="29"/>
      <c r="G6" s="29" t="s">
        <v>369</v>
      </c>
      <c r="H6" s="33">
        <f>VLOOKUP(G6,'List Data'!$A$100:$B$104,2,0)</f>
        <v>0</v>
      </c>
      <c r="I6" s="29" t="s">
        <v>213</v>
      </c>
      <c r="J6" s="29" t="s">
        <v>213</v>
      </c>
      <c r="K6" s="29">
        <v>0</v>
      </c>
      <c r="L6" s="29"/>
      <c r="M6" s="37">
        <f>R6*Summary!$H$27</f>
        <v>0</v>
      </c>
      <c r="N6" s="37">
        <f>S6*Summary!$H$25</f>
        <v>0</v>
      </c>
      <c r="O6" s="26">
        <f>VLOOKUP(J6,'List Data'!A$2:C$94,3,0)</f>
        <v>0</v>
      </c>
      <c r="P6" s="26" t="str">
        <f>VLOOKUP(J6,'List Data'!A$2:B$94,2,0)</f>
        <v>--------</v>
      </c>
      <c r="Q6" s="26">
        <f t="shared" ref="Q6:Q69" si="0">K6*B6/1000</f>
        <v>0</v>
      </c>
      <c r="R6" s="26">
        <f t="shared" ref="R6:R69" si="1">T6+V6+Y6</f>
        <v>0</v>
      </c>
      <c r="S6" s="26">
        <f t="shared" ref="S6:S69" si="2">U6+W6+X6+Z6+AE6</f>
        <v>0</v>
      </c>
      <c r="T6" s="26">
        <f>(IF(AND((O6="OP"),(I6="Child (0-7 years)")),VLOOKUP(K6,'OP Values'!$A$1:$Q$35,7),))*H6</f>
        <v>0</v>
      </c>
      <c r="U6" s="26">
        <f>(IF(O6="OP",VLOOKUP($Q6,'OP Values'!$A$1:$Q$35,17),))*H6</f>
        <v>0</v>
      </c>
      <c r="V6" s="26">
        <f>(IF(AND((O6="Pb"),(I6="Child (0-7 years)")),(VLOOKUP(Q6,Pb!$A$1:$AV$103,7)),0))*H6</f>
        <v>0</v>
      </c>
      <c r="W6" s="26">
        <f>(IF(AND((O6="Pb"),(I6="Child (0-7 years)")),(VLOOKUP(Q6,Pb!$C$2:$AV$103,20)),0))*H6</f>
        <v>0</v>
      </c>
      <c r="X6" s="26">
        <f>(IF(AND((O6="Pb"),(I6="Adult (&gt; 15 years)")),(VLOOKUP(Q6,Pb!$A$2:$AV$103,46)),0))*H6</f>
        <v>0</v>
      </c>
      <c r="Y6" s="26">
        <f>(IF(AND((O6="Hg"),(I6="Child (0-7 years)")),(VLOOKUP(Q6,'Hg Values'!$A$1:$M$30,3)),0))*H6</f>
        <v>0</v>
      </c>
      <c r="Z6" s="26">
        <f>(IF(AND((O6="Hg"),(I6="Child (0-7 years)")),(VLOOKUP(Q6,'Hg Values'!$A$1:$M$30,13)),0))*H6</f>
        <v>0</v>
      </c>
      <c r="AA6" s="5">
        <f>(((IF(AND((O6="CA"),(I6="Adult (&gt; 15 years)")),((Q6*1)/70)*(VLOOKUP(J6,CA_ingestion!A$1:J$78,4,0)),0))))/11</f>
        <v>0</v>
      </c>
      <c r="AB6" s="5">
        <f t="shared" ref="AB6:AB69" si="3">(IF(AA6&gt;1,1,AA6))*H6</f>
        <v>0</v>
      </c>
      <c r="AC6" s="5">
        <f>((IF(AND((O6="CA"),(I6="Adult (&gt; 15 years)")),(AB6*(VLOOKUP(J6,CA_ingestion!A$1:J$78,10,0))),0)))</f>
        <v>0</v>
      </c>
      <c r="AD6" s="5">
        <f t="shared" ref="AD6:AD69" si="4">AB6/2</f>
        <v>0</v>
      </c>
      <c r="AE6" s="5">
        <f t="shared" ref="AE6:AE69" si="5">AC6+AD6</f>
        <v>0</v>
      </c>
    </row>
    <row r="7" spans="1:31" ht="15.5">
      <c r="A7" s="29" t="s">
        <v>283</v>
      </c>
      <c r="B7" s="29">
        <v>0</v>
      </c>
      <c r="C7" s="29"/>
      <c r="D7" s="29"/>
      <c r="E7" s="26" t="str">
        <f>Summary!C$23</f>
        <v>Afghanistan</v>
      </c>
      <c r="F7" s="29"/>
      <c r="G7" s="29" t="s">
        <v>369</v>
      </c>
      <c r="H7" s="33">
        <f>VLOOKUP(G7,'List Data'!$A$100:$B$104,2,0)</f>
        <v>0</v>
      </c>
      <c r="I7" s="29" t="s">
        <v>213</v>
      </c>
      <c r="J7" s="29" t="s">
        <v>213</v>
      </c>
      <c r="K7" s="29">
        <v>0</v>
      </c>
      <c r="L7" s="29"/>
      <c r="M7" s="37">
        <f>R7*Summary!$H$27</f>
        <v>0</v>
      </c>
      <c r="N7" s="37">
        <f>S7*Summary!$H$25</f>
        <v>0</v>
      </c>
      <c r="O7" s="26">
        <f>VLOOKUP(J7,'List Data'!A$2:C$94,3,0)</f>
        <v>0</v>
      </c>
      <c r="P7" s="26" t="str">
        <f>VLOOKUP(J7,'List Data'!A$2:B$94,2,0)</f>
        <v>--------</v>
      </c>
      <c r="Q7" s="26">
        <f t="shared" si="0"/>
        <v>0</v>
      </c>
      <c r="R7" s="26">
        <f t="shared" si="1"/>
        <v>0</v>
      </c>
      <c r="S7" s="26">
        <f t="shared" si="2"/>
        <v>0</v>
      </c>
      <c r="T7" s="26">
        <f>(IF(AND((O7="OP"),(I7="Child (0-7 years)")),VLOOKUP(K7,'OP Values'!$A$1:$Q$35,7),))*H7</f>
        <v>0</v>
      </c>
      <c r="U7" s="26">
        <f>(IF(O7="OP",VLOOKUP($Q7,'OP Values'!$A$1:$Q$35,17),))*H7</f>
        <v>0</v>
      </c>
      <c r="V7" s="26">
        <f>(IF(AND((O7="Pb"),(I7="Child (0-7 years)")),(VLOOKUP(Q7,Pb!$A$1:$AV$103,7)),0))*H7</f>
        <v>0</v>
      </c>
      <c r="W7" s="26">
        <f>(IF(AND((O7="Pb"),(I7="Child (0-7 years)")),(VLOOKUP(Q7,Pb!$C$2:$AV$103,20)),0))*H7</f>
        <v>0</v>
      </c>
      <c r="X7" s="26">
        <f>(IF(AND((O7="Pb"),(I7="Adult (&gt; 15 years)")),(VLOOKUP(Q7,Pb!$A$2:$AV$103,46)),0))*H7</f>
        <v>0</v>
      </c>
      <c r="Y7" s="26">
        <f>(IF(AND((O7="Hg"),(I7="Child (0-7 years)")),(VLOOKUP(Q7,'Hg Values'!$A$1:$M$30,3)),0))*H7</f>
        <v>0</v>
      </c>
      <c r="Z7" s="26">
        <f>(IF(AND((O7="Hg"),(I7="Child (0-7 years)")),(VLOOKUP(Q7,'Hg Values'!$A$1:$M$30,13)),0))*H7</f>
        <v>0</v>
      </c>
      <c r="AA7" s="5">
        <f>(((IF(AND((O7="CA"),(I7="Adult (&gt; 15 years)")),((Q7*1)/70)*(VLOOKUP(J7,CA_ingestion!A$1:J$78,4,0)),0))))/11</f>
        <v>0</v>
      </c>
      <c r="AB7" s="5">
        <f t="shared" si="3"/>
        <v>0</v>
      </c>
      <c r="AC7" s="5">
        <f>((IF(AND((O7="CA"),(I7="Adult (&gt; 15 years)")),(AB7*(VLOOKUP(J7,CA_ingestion!A$1:J$78,10,0))),0)))</f>
        <v>0</v>
      </c>
      <c r="AD7" s="5">
        <f t="shared" si="4"/>
        <v>0</v>
      </c>
      <c r="AE7" s="5">
        <f t="shared" si="5"/>
        <v>0</v>
      </c>
    </row>
    <row r="8" spans="1:31" ht="15.5">
      <c r="A8" s="29" t="s">
        <v>283</v>
      </c>
      <c r="B8" s="29">
        <v>0</v>
      </c>
      <c r="C8" s="29"/>
      <c r="D8" s="29"/>
      <c r="E8" s="26" t="str">
        <f>Summary!C$23</f>
        <v>Afghanistan</v>
      </c>
      <c r="F8" s="29"/>
      <c r="G8" s="29" t="s">
        <v>369</v>
      </c>
      <c r="H8" s="33">
        <f>VLOOKUP(G8,'List Data'!$A$100:$B$104,2,0)</f>
        <v>0</v>
      </c>
      <c r="I8" s="29" t="s">
        <v>213</v>
      </c>
      <c r="J8" s="29" t="s">
        <v>213</v>
      </c>
      <c r="K8" s="29">
        <v>0</v>
      </c>
      <c r="L8" s="29"/>
      <c r="M8" s="37">
        <f>R8*Summary!$H$27</f>
        <v>0</v>
      </c>
      <c r="N8" s="37">
        <f>S8*Summary!$H$25</f>
        <v>0</v>
      </c>
      <c r="O8" s="26">
        <f>VLOOKUP(J8,'List Data'!A$2:C$94,3,0)</f>
        <v>0</v>
      </c>
      <c r="P8" s="26" t="str">
        <f>VLOOKUP(J8,'List Data'!A$2:B$94,2,0)</f>
        <v>--------</v>
      </c>
      <c r="Q8" s="26">
        <f t="shared" si="0"/>
        <v>0</v>
      </c>
      <c r="R8" s="26">
        <f t="shared" si="1"/>
        <v>0</v>
      </c>
      <c r="S8" s="26">
        <f t="shared" si="2"/>
        <v>0</v>
      </c>
      <c r="T8" s="26">
        <f>(IF(AND((O8="OP"),(I8="Child (0-7 years)")),VLOOKUP(K8,'OP Values'!$A$1:$Q$35,7),))*H8</f>
        <v>0</v>
      </c>
      <c r="U8" s="26">
        <f>(IF(O8="OP",VLOOKUP($Q8,'OP Values'!$A$1:$Q$35,17),))*H8</f>
        <v>0</v>
      </c>
      <c r="V8" s="26">
        <f>(IF(AND((O8="Pb"),(I8="Child (0-7 years)")),(VLOOKUP(Q8,Pb!$A$1:$AV$103,7)),0))*H8</f>
        <v>0</v>
      </c>
      <c r="W8" s="26">
        <f>(IF(AND((O8="Pb"),(I8="Child (0-7 years)")),(VLOOKUP(Q8,Pb!$C$2:$AV$103,20)),0))*H8</f>
        <v>0</v>
      </c>
      <c r="X8" s="26">
        <f>(IF(AND((O8="Pb"),(I8="Adult (&gt; 15 years)")),(VLOOKUP(Q8,Pb!$A$2:$AV$103,46)),0))*H8</f>
        <v>0</v>
      </c>
      <c r="Y8" s="26">
        <f>(IF(AND((O8="Hg"),(I8="Child (0-7 years)")),(VLOOKUP(Q8,'Hg Values'!$A$1:$M$30,3)),0))*H8</f>
        <v>0</v>
      </c>
      <c r="Z8" s="26">
        <f>(IF(AND((O8="Hg"),(I8="Child (0-7 years)")),(VLOOKUP(Q8,'Hg Values'!$A$1:$M$30,13)),0))*H8</f>
        <v>0</v>
      </c>
      <c r="AA8" s="5">
        <f>(((IF(AND((O8="CA"),(I8="Adult (&gt; 15 years)")),((Q8*1)/70)*(VLOOKUP(J8,CA_ingestion!A$1:J$78,4,0)),0))))/11</f>
        <v>0</v>
      </c>
      <c r="AB8" s="5">
        <f t="shared" si="3"/>
        <v>0</v>
      </c>
      <c r="AC8" s="5">
        <f>((IF(AND((O8="CA"),(I8="Adult (&gt; 15 years)")),(AB8*(VLOOKUP(J8,CA_ingestion!A$1:J$78,10,0))),0)))</f>
        <v>0</v>
      </c>
      <c r="AD8" s="5">
        <f t="shared" si="4"/>
        <v>0</v>
      </c>
      <c r="AE8" s="5">
        <f t="shared" si="5"/>
        <v>0</v>
      </c>
    </row>
    <row r="9" spans="1:31" ht="15.5">
      <c r="A9" s="29" t="s">
        <v>283</v>
      </c>
      <c r="B9" s="29">
        <v>0</v>
      </c>
      <c r="C9" s="29"/>
      <c r="D9" s="29"/>
      <c r="E9" s="26" t="str">
        <f>Summary!C$23</f>
        <v>Afghanistan</v>
      </c>
      <c r="F9" s="29"/>
      <c r="G9" s="29" t="s">
        <v>369</v>
      </c>
      <c r="H9" s="33">
        <f>VLOOKUP(G9,'List Data'!$A$100:$B$104,2,0)</f>
        <v>0</v>
      </c>
      <c r="I9" s="29" t="s">
        <v>213</v>
      </c>
      <c r="J9" s="29" t="s">
        <v>213</v>
      </c>
      <c r="K9" s="29">
        <v>0</v>
      </c>
      <c r="L9" s="29"/>
      <c r="M9" s="37">
        <f>R9*Summary!$H$27</f>
        <v>0</v>
      </c>
      <c r="N9" s="37">
        <f>S9*Summary!$H$25</f>
        <v>0</v>
      </c>
      <c r="O9" s="26">
        <f>VLOOKUP(J9,'List Data'!A$2:C$94,3,0)</f>
        <v>0</v>
      </c>
      <c r="P9" s="26" t="str">
        <f>VLOOKUP(J9,'List Data'!A$2:B$94,2,0)</f>
        <v>--------</v>
      </c>
      <c r="Q9" s="26">
        <f t="shared" si="0"/>
        <v>0</v>
      </c>
      <c r="R9" s="26">
        <f t="shared" si="1"/>
        <v>0</v>
      </c>
      <c r="S9" s="26">
        <f t="shared" si="2"/>
        <v>0</v>
      </c>
      <c r="T9" s="26">
        <f>(IF(AND((O9="OP"),(I9="Child (0-7 years)")),VLOOKUP(K9,'OP Values'!$A$1:$Q$35,7),))*H9</f>
        <v>0</v>
      </c>
      <c r="U9" s="26">
        <f>(IF(O9="OP",VLOOKUP($Q9,'OP Values'!$A$1:$Q$35,17),))*H9</f>
        <v>0</v>
      </c>
      <c r="V9" s="26">
        <f>(IF(AND((O9="Pb"),(I9="Child (0-7 years)")),(VLOOKUP(Q9,Pb!$A$1:$AV$103,7)),0))*H9</f>
        <v>0</v>
      </c>
      <c r="W9" s="26">
        <f>(IF(AND((O9="Pb"),(I9="Child (0-7 years)")),(VLOOKUP(Q9,Pb!$C$2:$AV$103,20)),0))*H9</f>
        <v>0</v>
      </c>
      <c r="X9" s="26">
        <f>(IF(AND((O9="Pb"),(I9="Adult (&gt; 15 years)")),(VLOOKUP(Q9,Pb!$A$2:$AV$103,46)),0))*H9</f>
        <v>0</v>
      </c>
      <c r="Y9" s="26">
        <f>(IF(AND((O9="Hg"),(I9="Child (0-7 years)")),(VLOOKUP(Q9,'Hg Values'!$A$1:$M$30,3)),0))*H9</f>
        <v>0</v>
      </c>
      <c r="Z9" s="26">
        <f>(IF(AND((O9="Hg"),(I9="Child (0-7 years)")),(VLOOKUP(Q9,'Hg Values'!$A$1:$M$30,13)),0))*H9</f>
        <v>0</v>
      </c>
      <c r="AA9" s="5">
        <f>(((IF(AND((O9="CA"),(I9="Adult (&gt; 15 years)")),((Q9*1)/70)*(VLOOKUP(J9,CA_ingestion!A$1:J$78,4,0)),0))))/11</f>
        <v>0</v>
      </c>
      <c r="AB9" s="5">
        <f t="shared" si="3"/>
        <v>0</v>
      </c>
      <c r="AC9" s="5">
        <f>((IF(AND((O9="CA"),(I9="Adult (&gt; 15 years)")),(AB9*(VLOOKUP(J9,CA_ingestion!A$1:J$78,10,0))),0)))</f>
        <v>0</v>
      </c>
      <c r="AD9" s="5">
        <f t="shared" si="4"/>
        <v>0</v>
      </c>
      <c r="AE9" s="5">
        <f t="shared" si="5"/>
        <v>0</v>
      </c>
    </row>
    <row r="10" spans="1:31" ht="15.5">
      <c r="A10" s="29" t="s">
        <v>283</v>
      </c>
      <c r="B10" s="29">
        <v>0</v>
      </c>
      <c r="C10" s="29"/>
      <c r="D10" s="29"/>
      <c r="E10" s="26" t="str">
        <f>Summary!C$23</f>
        <v>Afghanistan</v>
      </c>
      <c r="F10" s="29"/>
      <c r="G10" s="29" t="s">
        <v>369</v>
      </c>
      <c r="H10" s="33">
        <f>VLOOKUP(G10,'List Data'!$A$100:$B$104,2,0)</f>
        <v>0</v>
      </c>
      <c r="I10" s="29" t="s">
        <v>213</v>
      </c>
      <c r="J10" s="29" t="s">
        <v>213</v>
      </c>
      <c r="K10" s="29">
        <v>0</v>
      </c>
      <c r="L10" s="29"/>
      <c r="M10" s="37">
        <f>R10*Summary!$H$27</f>
        <v>0</v>
      </c>
      <c r="N10" s="37">
        <f>S10*Summary!$H$25</f>
        <v>0</v>
      </c>
      <c r="O10" s="26">
        <f>VLOOKUP(J10,'List Data'!A$2:C$94,3,0)</f>
        <v>0</v>
      </c>
      <c r="P10" s="26" t="str">
        <f>VLOOKUP(J10,'List Data'!A$2:B$94,2,0)</f>
        <v>--------</v>
      </c>
      <c r="Q10" s="26">
        <f t="shared" si="0"/>
        <v>0</v>
      </c>
      <c r="R10" s="26">
        <f t="shared" si="1"/>
        <v>0</v>
      </c>
      <c r="S10" s="26">
        <f t="shared" si="2"/>
        <v>0</v>
      </c>
      <c r="T10" s="26">
        <f>(IF(AND((O10="OP"),(I10="Child (0-7 years)")),VLOOKUP(K10,'OP Values'!$A$1:$Q$35,7),))*H10</f>
        <v>0</v>
      </c>
      <c r="U10" s="26">
        <f>(IF(O10="OP",VLOOKUP($Q10,'OP Values'!$A$1:$Q$35,17),))*H10</f>
        <v>0</v>
      </c>
      <c r="V10" s="26">
        <f>(IF(AND((O10="Pb"),(I10="Child (0-7 years)")),(VLOOKUP(Q10,Pb!$A$1:$AV$103,7)),0))*H10</f>
        <v>0</v>
      </c>
      <c r="W10" s="26">
        <f>(IF(AND((O10="Pb"),(I10="Child (0-7 years)")),(VLOOKUP(Q10,Pb!$C$2:$AV$103,20)),0))*H10</f>
        <v>0</v>
      </c>
      <c r="X10" s="26">
        <f>(IF(AND((O10="Pb"),(I10="Adult (&gt; 15 years)")),(VLOOKUP(Q10,Pb!$A$2:$AV$103,46)),0))*H10</f>
        <v>0</v>
      </c>
      <c r="Y10" s="26">
        <f>(IF(AND((O10="Hg"),(I10="Child (0-7 years)")),(VLOOKUP(Q10,'Hg Values'!$A$1:$M$30,3)),0))*H10</f>
        <v>0</v>
      </c>
      <c r="Z10" s="26">
        <f>(IF(AND((O10="Hg"),(I10="Child (0-7 years)")),(VLOOKUP(Q10,'Hg Values'!$A$1:$M$30,13)),0))*H10</f>
        <v>0</v>
      </c>
      <c r="AA10" s="5">
        <f>(((IF(AND((O10="CA"),(I10="Adult (&gt; 15 years)")),((Q10*1)/70)*(VLOOKUP(J10,CA_ingestion!A$1:J$78,4,0)),0))))/11</f>
        <v>0</v>
      </c>
      <c r="AB10" s="5">
        <f t="shared" si="3"/>
        <v>0</v>
      </c>
      <c r="AC10" s="5">
        <f>((IF(AND((O10="CA"),(I10="Adult (&gt; 15 years)")),(AB10*(VLOOKUP(J10,CA_ingestion!A$1:J$78,10,0))),0)))</f>
        <v>0</v>
      </c>
      <c r="AD10" s="5">
        <f t="shared" si="4"/>
        <v>0</v>
      </c>
      <c r="AE10" s="5">
        <f t="shared" si="5"/>
        <v>0</v>
      </c>
    </row>
    <row r="11" spans="1:31" ht="15.5">
      <c r="A11" s="29" t="s">
        <v>283</v>
      </c>
      <c r="B11" s="29">
        <v>0</v>
      </c>
      <c r="C11" s="29"/>
      <c r="D11" s="29"/>
      <c r="E11" s="26" t="str">
        <f>Summary!C$23</f>
        <v>Afghanistan</v>
      </c>
      <c r="F11" s="29"/>
      <c r="G11" s="29" t="s">
        <v>369</v>
      </c>
      <c r="H11" s="33">
        <f>VLOOKUP(G11,'List Data'!$A$100:$B$104,2,0)</f>
        <v>0</v>
      </c>
      <c r="I11" s="29" t="s">
        <v>213</v>
      </c>
      <c r="J11" s="29" t="s">
        <v>213</v>
      </c>
      <c r="K11" s="29">
        <v>0</v>
      </c>
      <c r="L11" s="29"/>
      <c r="M11" s="37">
        <f>R11*Summary!$H$27</f>
        <v>0</v>
      </c>
      <c r="N11" s="37">
        <f>S11*Summary!$H$25</f>
        <v>0</v>
      </c>
      <c r="O11" s="26">
        <f>VLOOKUP(J11,'List Data'!A$2:C$94,3,0)</f>
        <v>0</v>
      </c>
      <c r="P11" s="26" t="str">
        <f>VLOOKUP(J11,'List Data'!A$2:B$94,2,0)</f>
        <v>--------</v>
      </c>
      <c r="Q11" s="26">
        <f t="shared" si="0"/>
        <v>0</v>
      </c>
      <c r="R11" s="26">
        <f t="shared" si="1"/>
        <v>0</v>
      </c>
      <c r="S11" s="26">
        <f t="shared" si="2"/>
        <v>0</v>
      </c>
      <c r="T11" s="26">
        <f>(IF(AND((O11="OP"),(I11="Child (0-7 years)")),VLOOKUP(K11,'OP Values'!$A$1:$Q$35,7),))*H11</f>
        <v>0</v>
      </c>
      <c r="U11" s="26">
        <f>(IF(O11="OP",VLOOKUP($Q11,'OP Values'!$A$1:$Q$35,17),))*H11</f>
        <v>0</v>
      </c>
      <c r="V11" s="26">
        <f>(IF(AND((O11="Pb"),(I11="Child (0-7 years)")),(VLOOKUP(Q11,Pb!$A$1:$AV$103,7)),0))*H11</f>
        <v>0</v>
      </c>
      <c r="W11" s="26">
        <f>(IF(AND((O11="Pb"),(I11="Child (0-7 years)")),(VLOOKUP(Q11,Pb!$C$2:$AV$103,20)),0))*H11</f>
        <v>0</v>
      </c>
      <c r="X11" s="26">
        <f>(IF(AND((O11="Pb"),(I11="Adult (&gt; 15 years)")),(VLOOKUP(Q11,Pb!$A$2:$AV$103,46)),0))*H11</f>
        <v>0</v>
      </c>
      <c r="Y11" s="26">
        <f>(IF(AND((O11="Hg"),(I11="Child (0-7 years)")),(VLOOKUP(Q11,'Hg Values'!$A$1:$M$30,3)),0))*H11</f>
        <v>0</v>
      </c>
      <c r="Z11" s="26">
        <f>(IF(AND((O11="Hg"),(I11="Child (0-7 years)")),(VLOOKUP(Q11,'Hg Values'!$A$1:$M$30,13)),0))*H11</f>
        <v>0</v>
      </c>
      <c r="AA11" s="5">
        <f>(((IF(AND((O11="CA"),(I11="Adult (&gt; 15 years)")),((Q11*1)/70)*(VLOOKUP(J11,CA_ingestion!A$1:J$78,4,0)),0))))/11</f>
        <v>0</v>
      </c>
      <c r="AB11" s="5">
        <f t="shared" si="3"/>
        <v>0</v>
      </c>
      <c r="AC11" s="5">
        <f>((IF(AND((O11="CA"),(I11="Adult (&gt; 15 years)")),(AB11*(VLOOKUP(J11,CA_ingestion!A$1:J$78,10,0))),0)))</f>
        <v>0</v>
      </c>
      <c r="AD11" s="5">
        <f t="shared" si="4"/>
        <v>0</v>
      </c>
      <c r="AE11" s="5">
        <f t="shared" si="5"/>
        <v>0</v>
      </c>
    </row>
    <row r="12" spans="1:31" ht="15.5">
      <c r="A12" s="29" t="s">
        <v>283</v>
      </c>
      <c r="B12" s="29">
        <v>0</v>
      </c>
      <c r="C12" s="29"/>
      <c r="D12" s="29"/>
      <c r="E12" s="26" t="str">
        <f>Summary!C$23</f>
        <v>Afghanistan</v>
      </c>
      <c r="F12" s="29"/>
      <c r="G12" s="29" t="s">
        <v>369</v>
      </c>
      <c r="H12" s="33">
        <f>VLOOKUP(G12,'List Data'!$A$100:$B$104,2,0)</f>
        <v>0</v>
      </c>
      <c r="I12" s="29" t="s">
        <v>213</v>
      </c>
      <c r="J12" s="29" t="s">
        <v>213</v>
      </c>
      <c r="K12" s="29">
        <v>0</v>
      </c>
      <c r="L12" s="29"/>
      <c r="M12" s="37">
        <f>R12*Summary!$H$27</f>
        <v>0</v>
      </c>
      <c r="N12" s="37">
        <f>S12*Summary!$H$25</f>
        <v>0</v>
      </c>
      <c r="O12" s="26">
        <f>VLOOKUP(J12,'List Data'!A$2:C$94,3,0)</f>
        <v>0</v>
      </c>
      <c r="P12" s="26" t="str">
        <f>VLOOKUP(J12,'List Data'!A$2:B$94,2,0)</f>
        <v>--------</v>
      </c>
      <c r="Q12" s="26">
        <f t="shared" si="0"/>
        <v>0</v>
      </c>
      <c r="R12" s="26">
        <f t="shared" si="1"/>
        <v>0</v>
      </c>
      <c r="S12" s="26">
        <f t="shared" si="2"/>
        <v>0</v>
      </c>
      <c r="T12" s="26">
        <f>(IF(AND((O12="OP"),(I12="Child (0-7 years)")),VLOOKUP(K12,'OP Values'!$A$1:$Q$35,7),))*H12</f>
        <v>0</v>
      </c>
      <c r="U12" s="26">
        <f>(IF(O12="OP",VLOOKUP($Q12,'OP Values'!$A$1:$Q$35,17),))*H12</f>
        <v>0</v>
      </c>
      <c r="V12" s="26">
        <f>(IF(AND((O12="Pb"),(I12="Child (0-7 years)")),(VLOOKUP(Q12,Pb!$A$1:$AV$103,7)),0))*H12</f>
        <v>0</v>
      </c>
      <c r="W12" s="26">
        <f>(IF(AND((O12="Pb"),(I12="Child (0-7 years)")),(VLOOKUP(Q12,Pb!$C$2:$AV$103,20)),0))*H12</f>
        <v>0</v>
      </c>
      <c r="X12" s="26">
        <f>(IF(AND((O12="Pb"),(I12="Adult (&gt; 15 years)")),(VLOOKUP(Q12,Pb!$A$2:$AV$103,46)),0))*H12</f>
        <v>0</v>
      </c>
      <c r="Y12" s="26">
        <f>(IF(AND((O12="Hg"),(I12="Child (0-7 years)")),(VLOOKUP(Q12,'Hg Values'!$A$1:$M$30,3)),0))*H12</f>
        <v>0</v>
      </c>
      <c r="Z12" s="26">
        <f>(IF(AND((O12="Hg"),(I12="Child (0-7 years)")),(VLOOKUP(Q12,'Hg Values'!$A$1:$M$30,13)),0))*H12</f>
        <v>0</v>
      </c>
      <c r="AA12" s="5">
        <f>(((IF(AND((O12="CA"),(I12="Adult (&gt; 15 years)")),((Q12*1)/70)*(VLOOKUP(J12,CA_ingestion!A$1:J$78,4,0)),0))))/11</f>
        <v>0</v>
      </c>
      <c r="AB12" s="5">
        <f t="shared" si="3"/>
        <v>0</v>
      </c>
      <c r="AC12" s="5">
        <f>((IF(AND((O12="CA"),(I12="Adult (&gt; 15 years)")),(AB12*(VLOOKUP(J12,CA_ingestion!A$1:J$78,10,0))),0)))</f>
        <v>0</v>
      </c>
      <c r="AD12" s="5">
        <f t="shared" si="4"/>
        <v>0</v>
      </c>
      <c r="AE12" s="5">
        <f t="shared" si="5"/>
        <v>0</v>
      </c>
    </row>
    <row r="13" spans="1:31" ht="15.5">
      <c r="A13" s="29" t="s">
        <v>283</v>
      </c>
      <c r="B13" s="29">
        <v>0</v>
      </c>
      <c r="C13" s="29"/>
      <c r="D13" s="29"/>
      <c r="E13" s="26" t="str">
        <f>Summary!C$23</f>
        <v>Afghanistan</v>
      </c>
      <c r="F13" s="29"/>
      <c r="G13" s="29" t="s">
        <v>369</v>
      </c>
      <c r="H13" s="33">
        <f>VLOOKUP(G13,'List Data'!$A$100:$B$104,2,0)</f>
        <v>0</v>
      </c>
      <c r="I13" s="29" t="s">
        <v>213</v>
      </c>
      <c r="J13" s="29" t="s">
        <v>213</v>
      </c>
      <c r="K13" s="29">
        <v>0</v>
      </c>
      <c r="L13" s="29"/>
      <c r="M13" s="37">
        <f>R13*Summary!$H$27</f>
        <v>0</v>
      </c>
      <c r="N13" s="37">
        <f>S13*Summary!$H$25</f>
        <v>0</v>
      </c>
      <c r="O13" s="26">
        <f>VLOOKUP(J13,'List Data'!A$2:C$94,3,0)</f>
        <v>0</v>
      </c>
      <c r="P13" s="26" t="str">
        <f>VLOOKUP(J13,'List Data'!A$2:B$94,2,0)</f>
        <v>--------</v>
      </c>
      <c r="Q13" s="26">
        <f t="shared" si="0"/>
        <v>0</v>
      </c>
      <c r="R13" s="26">
        <f t="shared" si="1"/>
        <v>0</v>
      </c>
      <c r="S13" s="26">
        <f t="shared" si="2"/>
        <v>0</v>
      </c>
      <c r="T13" s="26">
        <f>(IF(AND((O13="OP"),(I13="Child (0-7 years)")),VLOOKUP(K13,'OP Values'!$A$1:$Q$35,7),))*H13</f>
        <v>0</v>
      </c>
      <c r="U13" s="26">
        <f>(IF(O13="OP",VLOOKUP($Q13,'OP Values'!$A$1:$Q$35,17),))*H13</f>
        <v>0</v>
      </c>
      <c r="V13" s="26">
        <f>(IF(AND((O13="Pb"),(I13="Child (0-7 years)")),(VLOOKUP(Q13,Pb!$A$1:$AV$103,7)),0))*H13</f>
        <v>0</v>
      </c>
      <c r="W13" s="26">
        <f>(IF(AND((O13="Pb"),(I13="Child (0-7 years)")),(VLOOKUP(Q13,Pb!$C$2:$AV$103,20)),0))*H13</f>
        <v>0</v>
      </c>
      <c r="X13" s="26">
        <f>(IF(AND((O13="Pb"),(I13="Adult (&gt; 15 years)")),(VLOOKUP(Q13,Pb!$A$2:$AV$103,46)),0))*H13</f>
        <v>0</v>
      </c>
      <c r="Y13" s="26">
        <f>(IF(AND((O13="Hg"),(I13="Child (0-7 years)")),(VLOOKUP(Q13,'Hg Values'!$A$1:$M$30,3)),0))*H13</f>
        <v>0</v>
      </c>
      <c r="Z13" s="26">
        <f>(IF(AND((O13="Hg"),(I13="Child (0-7 years)")),(VLOOKUP(Q13,'Hg Values'!$A$1:$M$30,13)),0))*H13</f>
        <v>0</v>
      </c>
      <c r="AA13" s="5">
        <f>(((IF(AND((O13="CA"),(I13="Adult (&gt; 15 years)")),((Q13*1)/70)*(VLOOKUP(J13,CA_ingestion!A$1:J$78,4,0)),0))))/11</f>
        <v>0</v>
      </c>
      <c r="AB13" s="5">
        <f t="shared" si="3"/>
        <v>0</v>
      </c>
      <c r="AC13" s="5">
        <f>((IF(AND((O13="CA"),(I13="Adult (&gt; 15 years)")),(AB13*(VLOOKUP(J13,CA_ingestion!A$1:J$78,10,0))),0)))</f>
        <v>0</v>
      </c>
      <c r="AD13" s="5">
        <f t="shared" si="4"/>
        <v>0</v>
      </c>
      <c r="AE13" s="5">
        <f t="shared" si="5"/>
        <v>0</v>
      </c>
    </row>
    <row r="14" spans="1:31" ht="15.5">
      <c r="A14" s="29" t="s">
        <v>283</v>
      </c>
      <c r="B14" s="29">
        <v>0</v>
      </c>
      <c r="C14" s="29"/>
      <c r="D14" s="29"/>
      <c r="E14" s="26" t="str">
        <f>Summary!C$23</f>
        <v>Afghanistan</v>
      </c>
      <c r="F14" s="29"/>
      <c r="G14" s="29" t="s">
        <v>369</v>
      </c>
      <c r="H14" s="33">
        <f>VLOOKUP(G14,'List Data'!$A$100:$B$104,2,0)</f>
        <v>0</v>
      </c>
      <c r="I14" s="29" t="s">
        <v>213</v>
      </c>
      <c r="J14" s="29" t="s">
        <v>213</v>
      </c>
      <c r="K14" s="29">
        <v>0</v>
      </c>
      <c r="L14" s="29"/>
      <c r="M14" s="37">
        <f>R14*Summary!$H$27</f>
        <v>0</v>
      </c>
      <c r="N14" s="37">
        <f>S14*Summary!$H$25</f>
        <v>0</v>
      </c>
      <c r="O14" s="26">
        <f>VLOOKUP(J14,'List Data'!A$2:C$94,3,0)</f>
        <v>0</v>
      </c>
      <c r="P14" s="26" t="str">
        <f>VLOOKUP(J14,'List Data'!A$2:B$94,2,0)</f>
        <v>--------</v>
      </c>
      <c r="Q14" s="26">
        <f t="shared" si="0"/>
        <v>0</v>
      </c>
      <c r="R14" s="26">
        <f t="shared" si="1"/>
        <v>0</v>
      </c>
      <c r="S14" s="26">
        <f t="shared" si="2"/>
        <v>0</v>
      </c>
      <c r="T14" s="26">
        <f>(IF(AND((O14="OP"),(I14="Child (0-7 years)")),VLOOKUP(K14,'OP Values'!$A$1:$Q$35,7),))*H14</f>
        <v>0</v>
      </c>
      <c r="U14" s="26">
        <f>(IF(O14="OP",VLOOKUP($Q14,'OP Values'!$A$1:$Q$35,17),))*H14</f>
        <v>0</v>
      </c>
      <c r="V14" s="26">
        <f>(IF(AND((O14="Pb"),(I14="Child (0-7 years)")),(VLOOKUP(Q14,Pb!$A$1:$AV$103,7)),0))*H14</f>
        <v>0</v>
      </c>
      <c r="W14" s="26">
        <f>(IF(AND((O14="Pb"),(I14="Child (0-7 years)")),(VLOOKUP(Q14,Pb!$C$2:$AV$103,20)),0))*H14</f>
        <v>0</v>
      </c>
      <c r="X14" s="26">
        <f>(IF(AND((O14="Pb"),(I14="Adult (&gt; 15 years)")),(VLOOKUP(Q14,Pb!$A$2:$AV$103,46)),0))*H14</f>
        <v>0</v>
      </c>
      <c r="Y14" s="26">
        <f>(IF(AND((O14="Hg"),(I14="Child (0-7 years)")),(VLOOKUP(Q14,'Hg Values'!$A$1:$M$30,3)),0))*H14</f>
        <v>0</v>
      </c>
      <c r="Z14" s="26">
        <f>(IF(AND((O14="Hg"),(I14="Child (0-7 years)")),(VLOOKUP(Q14,'Hg Values'!$A$1:$M$30,13)),0))*H14</f>
        <v>0</v>
      </c>
      <c r="AA14" s="5">
        <f>(((IF(AND((O14="CA"),(I14="Adult (&gt; 15 years)")),((Q14*1)/70)*(VLOOKUP(J14,CA_ingestion!A$1:J$78,4,0)),0))))/11</f>
        <v>0</v>
      </c>
      <c r="AB14" s="5">
        <f t="shared" si="3"/>
        <v>0</v>
      </c>
      <c r="AC14" s="5">
        <f>((IF(AND((O14="CA"),(I14="Adult (&gt; 15 years)")),(AB14*(VLOOKUP(J14,CA_ingestion!A$1:J$78,10,0))),0)))</f>
        <v>0</v>
      </c>
      <c r="AD14" s="5">
        <f t="shared" si="4"/>
        <v>0</v>
      </c>
      <c r="AE14" s="5">
        <f t="shared" si="5"/>
        <v>0</v>
      </c>
    </row>
    <row r="15" spans="1:31" ht="15.5">
      <c r="A15" s="29" t="s">
        <v>283</v>
      </c>
      <c r="B15" s="29">
        <v>0</v>
      </c>
      <c r="C15" s="29"/>
      <c r="D15" s="29"/>
      <c r="E15" s="26" t="str">
        <f>Summary!C$23</f>
        <v>Afghanistan</v>
      </c>
      <c r="F15" s="29"/>
      <c r="G15" s="29" t="s">
        <v>369</v>
      </c>
      <c r="H15" s="33">
        <f>VLOOKUP(G15,'List Data'!$A$100:$B$104,2,0)</f>
        <v>0</v>
      </c>
      <c r="I15" s="29" t="s">
        <v>213</v>
      </c>
      <c r="J15" s="29" t="s">
        <v>213</v>
      </c>
      <c r="K15" s="29">
        <v>0</v>
      </c>
      <c r="L15" s="29"/>
      <c r="M15" s="37">
        <f>R15*Summary!$H$27</f>
        <v>0</v>
      </c>
      <c r="N15" s="37">
        <f>S15*Summary!$H$25</f>
        <v>0</v>
      </c>
      <c r="O15" s="26">
        <f>VLOOKUP(J15,'List Data'!A$2:C$94,3,0)</f>
        <v>0</v>
      </c>
      <c r="P15" s="26" t="str">
        <f>VLOOKUP(J15,'List Data'!A$2:B$94,2,0)</f>
        <v>--------</v>
      </c>
      <c r="Q15" s="26">
        <f t="shared" si="0"/>
        <v>0</v>
      </c>
      <c r="R15" s="26">
        <f t="shared" si="1"/>
        <v>0</v>
      </c>
      <c r="S15" s="26">
        <f t="shared" si="2"/>
        <v>0</v>
      </c>
      <c r="T15" s="26">
        <f>(IF(AND((O15="OP"),(I15="Child (0-7 years)")),VLOOKUP(K15,'OP Values'!$A$1:$Q$35,7),))*H15</f>
        <v>0</v>
      </c>
      <c r="U15" s="26">
        <f>(IF(O15="OP",VLOOKUP($Q15,'OP Values'!$A$1:$Q$35,17),))*H15</f>
        <v>0</v>
      </c>
      <c r="V15" s="26">
        <f>(IF(AND((O15="Pb"),(I15="Child (0-7 years)")),(VLOOKUP(Q15,Pb!$A$1:$AV$103,7)),0))*H15</f>
        <v>0</v>
      </c>
      <c r="W15" s="26">
        <f>(IF(AND((O15="Pb"),(I15="Child (0-7 years)")),(VLOOKUP(Q15,Pb!$C$2:$AV$103,20)),0))*H15</f>
        <v>0</v>
      </c>
      <c r="X15" s="26">
        <f>(IF(AND((O15="Pb"),(I15="Adult (&gt; 15 years)")),(VLOOKUP(Q15,Pb!$A$2:$AV$103,46)),0))*H15</f>
        <v>0</v>
      </c>
      <c r="Y15" s="26">
        <f>(IF(AND((O15="Hg"),(I15="Child (0-7 years)")),(VLOOKUP(Q15,'Hg Values'!$A$1:$M$30,3)),0))*H15</f>
        <v>0</v>
      </c>
      <c r="Z15" s="26">
        <f>(IF(AND((O15="Hg"),(I15="Child (0-7 years)")),(VLOOKUP(Q15,'Hg Values'!$A$1:$M$30,13)),0))*H15</f>
        <v>0</v>
      </c>
      <c r="AA15" s="5">
        <f>(((IF(AND((O15="CA"),(I15="Adult (&gt; 15 years)")),((Q15*1)/70)*(VLOOKUP(J15,CA_ingestion!A$1:J$78,4,0)),0))))/11</f>
        <v>0</v>
      </c>
      <c r="AB15" s="5">
        <f t="shared" si="3"/>
        <v>0</v>
      </c>
      <c r="AC15" s="5">
        <f>((IF(AND((O15="CA"),(I15="Adult (&gt; 15 years)")),(AB15*(VLOOKUP(J15,CA_ingestion!A$1:J$78,10,0))),0)))</f>
        <v>0</v>
      </c>
      <c r="AD15" s="5">
        <f t="shared" si="4"/>
        <v>0</v>
      </c>
      <c r="AE15" s="5">
        <f t="shared" si="5"/>
        <v>0</v>
      </c>
    </row>
    <row r="16" spans="1:31" ht="15.5">
      <c r="A16" s="29" t="s">
        <v>283</v>
      </c>
      <c r="B16" s="29">
        <v>0</v>
      </c>
      <c r="C16" s="29"/>
      <c r="D16" s="29"/>
      <c r="E16" s="26" t="str">
        <f>Summary!C$23</f>
        <v>Afghanistan</v>
      </c>
      <c r="F16" s="29"/>
      <c r="G16" s="29" t="s">
        <v>369</v>
      </c>
      <c r="H16" s="33">
        <f>VLOOKUP(G16,'List Data'!$A$100:$B$104,2,0)</f>
        <v>0</v>
      </c>
      <c r="I16" s="29" t="s">
        <v>213</v>
      </c>
      <c r="J16" s="29" t="s">
        <v>213</v>
      </c>
      <c r="K16" s="29">
        <v>0</v>
      </c>
      <c r="L16" s="29"/>
      <c r="M16" s="37">
        <f>R16*Summary!$H$27</f>
        <v>0</v>
      </c>
      <c r="N16" s="37">
        <f>S16*Summary!$H$25</f>
        <v>0</v>
      </c>
      <c r="O16" s="26">
        <f>VLOOKUP(J16,'List Data'!A$2:C$94,3,0)</f>
        <v>0</v>
      </c>
      <c r="P16" s="26" t="str">
        <f>VLOOKUP(J16,'List Data'!A$2:B$94,2,0)</f>
        <v>--------</v>
      </c>
      <c r="Q16" s="26">
        <f t="shared" si="0"/>
        <v>0</v>
      </c>
      <c r="R16" s="26">
        <f t="shared" si="1"/>
        <v>0</v>
      </c>
      <c r="S16" s="26">
        <f t="shared" si="2"/>
        <v>0</v>
      </c>
      <c r="T16" s="26">
        <f>(IF(AND((O16="OP"),(I16="Child (0-7 years)")),VLOOKUP(K16,'OP Values'!$A$1:$Q$35,7),))*H16</f>
        <v>0</v>
      </c>
      <c r="U16" s="26">
        <f>(IF(O16="OP",VLOOKUP($Q16,'OP Values'!$A$1:$Q$35,17),))*H16</f>
        <v>0</v>
      </c>
      <c r="V16" s="26">
        <f>(IF(AND((O16="Pb"),(I16="Child (0-7 years)")),(VLOOKUP(Q16,Pb!$A$1:$AV$103,7)),0))*H16</f>
        <v>0</v>
      </c>
      <c r="W16" s="26">
        <f>(IF(AND((O16="Pb"),(I16="Child (0-7 years)")),(VLOOKUP(Q16,Pb!$C$2:$AV$103,20)),0))*H16</f>
        <v>0</v>
      </c>
      <c r="X16" s="26">
        <f>(IF(AND((O16="Pb"),(I16="Adult (&gt; 15 years)")),(VLOOKUP(Q16,Pb!$A$2:$AV$103,46)),0))*H16</f>
        <v>0</v>
      </c>
      <c r="Y16" s="26">
        <f>(IF(AND((O16="Hg"),(I16="Child (0-7 years)")),(VLOOKUP(Q16,'Hg Values'!$A$1:$M$30,3)),0))*H16</f>
        <v>0</v>
      </c>
      <c r="Z16" s="26">
        <f>(IF(AND((O16="Hg"),(I16="Child (0-7 years)")),(VLOOKUP(Q16,'Hg Values'!$A$1:$M$30,13)),0))*H16</f>
        <v>0</v>
      </c>
      <c r="AA16" s="5">
        <f>(((IF(AND((O16="CA"),(I16="Adult (&gt; 15 years)")),((Q16*1)/70)*(VLOOKUP(J16,CA_ingestion!A$1:J$78,4,0)),0))))/11</f>
        <v>0</v>
      </c>
      <c r="AB16" s="5">
        <f t="shared" si="3"/>
        <v>0</v>
      </c>
      <c r="AC16" s="5">
        <f>((IF(AND((O16="CA"),(I16="Adult (&gt; 15 years)")),(AB16*(VLOOKUP(J16,CA_ingestion!A$1:J$78,10,0))),0)))</f>
        <v>0</v>
      </c>
      <c r="AD16" s="5">
        <f t="shared" si="4"/>
        <v>0</v>
      </c>
      <c r="AE16" s="5">
        <f t="shared" si="5"/>
        <v>0</v>
      </c>
    </row>
    <row r="17" spans="1:31" ht="15.5">
      <c r="A17" s="29" t="s">
        <v>283</v>
      </c>
      <c r="B17" s="29">
        <v>0</v>
      </c>
      <c r="C17" s="29"/>
      <c r="D17" s="29"/>
      <c r="E17" s="26" t="str">
        <f>Summary!C$23</f>
        <v>Afghanistan</v>
      </c>
      <c r="F17" s="29"/>
      <c r="G17" s="29" t="s">
        <v>369</v>
      </c>
      <c r="H17" s="33">
        <f>VLOOKUP(G17,'List Data'!$A$100:$B$104,2,0)</f>
        <v>0</v>
      </c>
      <c r="I17" s="29" t="s">
        <v>213</v>
      </c>
      <c r="J17" s="29" t="s">
        <v>213</v>
      </c>
      <c r="K17" s="29">
        <v>0</v>
      </c>
      <c r="L17" s="29"/>
      <c r="M17" s="37">
        <f>R17*Summary!$H$27</f>
        <v>0</v>
      </c>
      <c r="N17" s="37">
        <f>S17*Summary!$H$25</f>
        <v>0</v>
      </c>
      <c r="O17" s="26">
        <f>VLOOKUP(J17,'List Data'!A$2:C$94,3,0)</f>
        <v>0</v>
      </c>
      <c r="P17" s="26" t="str">
        <f>VLOOKUP(J17,'List Data'!A$2:B$94,2,0)</f>
        <v>--------</v>
      </c>
      <c r="Q17" s="26">
        <f t="shared" si="0"/>
        <v>0</v>
      </c>
      <c r="R17" s="26">
        <f t="shared" si="1"/>
        <v>0</v>
      </c>
      <c r="S17" s="26">
        <f t="shared" si="2"/>
        <v>0</v>
      </c>
      <c r="T17" s="26">
        <f>(IF(AND((O17="OP"),(I17="Child (0-7 years)")),VLOOKUP(K17,'OP Values'!$A$1:$Q$35,7),))*H17</f>
        <v>0</v>
      </c>
      <c r="U17" s="26">
        <f>(IF(O17="OP",VLOOKUP($Q17,'OP Values'!$A$1:$Q$35,17),))*H17</f>
        <v>0</v>
      </c>
      <c r="V17" s="26">
        <f>(IF(AND((O17="Pb"),(I17="Child (0-7 years)")),(VLOOKUP(Q17,Pb!$A$1:$AV$103,7)),0))*H17</f>
        <v>0</v>
      </c>
      <c r="W17" s="26">
        <f>(IF(AND((O17="Pb"),(I17="Child (0-7 years)")),(VLOOKUP(Q17,Pb!$C$2:$AV$103,20)),0))*H17</f>
        <v>0</v>
      </c>
      <c r="X17" s="26">
        <f>(IF(AND((O17="Pb"),(I17="Adult (&gt; 15 years)")),(VLOOKUP(Q17,Pb!$A$2:$AV$103,46)),0))*H17</f>
        <v>0</v>
      </c>
      <c r="Y17" s="26">
        <f>(IF(AND((O17="Hg"),(I17="Child (0-7 years)")),(VLOOKUP(Q17,'Hg Values'!$A$1:$M$30,3)),0))*H17</f>
        <v>0</v>
      </c>
      <c r="Z17" s="26">
        <f>(IF(AND((O17="Hg"),(I17="Child (0-7 years)")),(VLOOKUP(Q17,'Hg Values'!$A$1:$M$30,13)),0))*H17</f>
        <v>0</v>
      </c>
      <c r="AA17" s="5">
        <f>(((IF(AND((O17="CA"),(I17="Adult (&gt; 15 years)")),((Q17*1)/70)*(VLOOKUP(J17,CA_ingestion!A$1:J$78,4,0)),0))))/11</f>
        <v>0</v>
      </c>
      <c r="AB17" s="5">
        <f t="shared" si="3"/>
        <v>0</v>
      </c>
      <c r="AC17" s="5">
        <f>((IF(AND((O17="CA"),(I17="Adult (&gt; 15 years)")),(AB17*(VLOOKUP(J17,CA_ingestion!A$1:J$78,10,0))),0)))</f>
        <v>0</v>
      </c>
      <c r="AD17" s="5">
        <f t="shared" si="4"/>
        <v>0</v>
      </c>
      <c r="AE17" s="5">
        <f t="shared" si="5"/>
        <v>0</v>
      </c>
    </row>
    <row r="18" spans="1:31" ht="15.5">
      <c r="A18" s="29" t="s">
        <v>283</v>
      </c>
      <c r="B18" s="29">
        <v>0</v>
      </c>
      <c r="C18" s="29"/>
      <c r="D18" s="29"/>
      <c r="E18" s="26" t="str">
        <f>Summary!C$23</f>
        <v>Afghanistan</v>
      </c>
      <c r="F18" s="29"/>
      <c r="G18" s="29" t="s">
        <v>369</v>
      </c>
      <c r="H18" s="33">
        <f>VLOOKUP(G18,'List Data'!$A$100:$B$104,2,0)</f>
        <v>0</v>
      </c>
      <c r="I18" s="29" t="s">
        <v>213</v>
      </c>
      <c r="J18" s="29" t="s">
        <v>213</v>
      </c>
      <c r="K18" s="29">
        <v>0</v>
      </c>
      <c r="L18" s="29"/>
      <c r="M18" s="37">
        <f>R18*Summary!$H$27</f>
        <v>0</v>
      </c>
      <c r="N18" s="37">
        <f>S18*Summary!$H$25</f>
        <v>0</v>
      </c>
      <c r="O18" s="26">
        <f>VLOOKUP(J18,'List Data'!A$2:C$94,3,0)</f>
        <v>0</v>
      </c>
      <c r="P18" s="26" t="str">
        <f>VLOOKUP(J18,'List Data'!A$2:B$94,2,0)</f>
        <v>--------</v>
      </c>
      <c r="Q18" s="26">
        <f t="shared" si="0"/>
        <v>0</v>
      </c>
      <c r="R18" s="26">
        <f t="shared" si="1"/>
        <v>0</v>
      </c>
      <c r="S18" s="26">
        <f t="shared" si="2"/>
        <v>0</v>
      </c>
      <c r="T18" s="26">
        <f>(IF(AND((O18="OP"),(I18="Child (0-7 years)")),VLOOKUP(K18,'OP Values'!$A$1:$Q$35,7),))*H18</f>
        <v>0</v>
      </c>
      <c r="U18" s="26">
        <f>(IF(O18="OP",VLOOKUP($Q18,'OP Values'!$A$1:$Q$35,17),))*H18</f>
        <v>0</v>
      </c>
      <c r="V18" s="26">
        <f>(IF(AND((O18="Pb"),(I18="Child (0-7 years)")),(VLOOKUP(Q18,Pb!$A$1:$AV$103,7)),0))*H18</f>
        <v>0</v>
      </c>
      <c r="W18" s="26">
        <f>(IF(AND((O18="Pb"),(I18="Child (0-7 years)")),(VLOOKUP(Q18,Pb!$C$2:$AV$103,20)),0))*H18</f>
        <v>0</v>
      </c>
      <c r="X18" s="26">
        <f>(IF(AND((O18="Pb"),(I18="Adult (&gt; 15 years)")),(VLOOKUP(Q18,Pb!$A$2:$AV$103,46)),0))*H18</f>
        <v>0</v>
      </c>
      <c r="Y18" s="26">
        <f>(IF(AND((O18="Hg"),(I18="Child (0-7 years)")),(VLOOKUP(Q18,'Hg Values'!$A$1:$M$30,3)),0))*H18</f>
        <v>0</v>
      </c>
      <c r="Z18" s="26">
        <f>(IF(AND((O18="Hg"),(I18="Child (0-7 years)")),(VLOOKUP(Q18,'Hg Values'!$A$1:$M$30,13)),0))*H18</f>
        <v>0</v>
      </c>
      <c r="AA18" s="5">
        <f>(((IF(AND((O18="CA"),(I18="Adult (&gt; 15 years)")),((Q18*1)/70)*(VLOOKUP(J18,CA_ingestion!A$1:J$78,4,0)),0))))/11</f>
        <v>0</v>
      </c>
      <c r="AB18" s="5">
        <f t="shared" si="3"/>
        <v>0</v>
      </c>
      <c r="AC18" s="5">
        <f>((IF(AND((O18="CA"),(I18="Adult (&gt; 15 years)")),(AB18*(VLOOKUP(J18,CA_ingestion!A$1:J$78,10,0))),0)))</f>
        <v>0</v>
      </c>
      <c r="AD18" s="5">
        <f t="shared" si="4"/>
        <v>0</v>
      </c>
      <c r="AE18" s="5">
        <f t="shared" si="5"/>
        <v>0</v>
      </c>
    </row>
    <row r="19" spans="1:31" ht="15.5">
      <c r="A19" s="29" t="s">
        <v>283</v>
      </c>
      <c r="B19" s="29">
        <v>0</v>
      </c>
      <c r="C19" s="29"/>
      <c r="D19" s="29"/>
      <c r="E19" s="26" t="str">
        <f>Summary!C$23</f>
        <v>Afghanistan</v>
      </c>
      <c r="F19" s="29"/>
      <c r="G19" s="29" t="s">
        <v>369</v>
      </c>
      <c r="H19" s="33">
        <f>VLOOKUP(G19,'List Data'!$A$100:$B$104,2,0)</f>
        <v>0</v>
      </c>
      <c r="I19" s="29" t="s">
        <v>213</v>
      </c>
      <c r="J19" s="29" t="s">
        <v>213</v>
      </c>
      <c r="K19" s="29">
        <v>0</v>
      </c>
      <c r="L19" s="29"/>
      <c r="M19" s="37">
        <f>R19*Summary!$H$27</f>
        <v>0</v>
      </c>
      <c r="N19" s="37">
        <f>S19*Summary!$H$25</f>
        <v>0</v>
      </c>
      <c r="O19" s="26">
        <f>VLOOKUP(J19,'List Data'!A$2:C$94,3,0)</f>
        <v>0</v>
      </c>
      <c r="P19" s="26" t="str">
        <f>VLOOKUP(J19,'List Data'!A$2:B$94,2,0)</f>
        <v>--------</v>
      </c>
      <c r="Q19" s="26">
        <f t="shared" si="0"/>
        <v>0</v>
      </c>
      <c r="R19" s="26">
        <f t="shared" si="1"/>
        <v>0</v>
      </c>
      <c r="S19" s="26">
        <f t="shared" si="2"/>
        <v>0</v>
      </c>
      <c r="T19" s="26">
        <f>(IF(AND((O19="OP"),(I19="Child (0-7 years)")),VLOOKUP(K19,'OP Values'!$A$1:$Q$35,7),))*H19</f>
        <v>0</v>
      </c>
      <c r="U19" s="26">
        <f>(IF(O19="OP",VLOOKUP($Q19,'OP Values'!$A$1:$Q$35,17),))*H19</f>
        <v>0</v>
      </c>
      <c r="V19" s="26">
        <f>(IF(AND((O19="Pb"),(I19="Child (0-7 years)")),(VLOOKUP(Q19,Pb!$A$1:$AV$103,7)),0))*H19</f>
        <v>0</v>
      </c>
      <c r="W19" s="26">
        <f>(IF(AND((O19="Pb"),(I19="Child (0-7 years)")),(VLOOKUP(Q19,Pb!$C$2:$AV$103,20)),0))*H19</f>
        <v>0</v>
      </c>
      <c r="X19" s="26">
        <f>(IF(AND((O19="Pb"),(I19="Adult (&gt; 15 years)")),(VLOOKUP(Q19,Pb!$A$2:$AV$103,46)),0))*H19</f>
        <v>0</v>
      </c>
      <c r="Y19" s="26">
        <f>(IF(AND((O19="Hg"),(I19="Child (0-7 years)")),(VLOOKUP(Q19,'Hg Values'!$A$1:$M$30,3)),0))*H19</f>
        <v>0</v>
      </c>
      <c r="Z19" s="26">
        <f>(IF(AND((O19="Hg"),(I19="Child (0-7 years)")),(VLOOKUP(Q19,'Hg Values'!$A$1:$M$30,13)),0))*H19</f>
        <v>0</v>
      </c>
      <c r="AA19" s="5">
        <f>(((IF(AND((O19="CA"),(I19="Adult (&gt; 15 years)")),((Q19*1)/70)*(VLOOKUP(J19,CA_ingestion!A$1:J$78,4,0)),0))))/11</f>
        <v>0</v>
      </c>
      <c r="AB19" s="5">
        <f t="shared" si="3"/>
        <v>0</v>
      </c>
      <c r="AC19" s="5">
        <f>((IF(AND((O19="CA"),(I19="Adult (&gt; 15 years)")),(AB19*(VLOOKUP(J19,CA_ingestion!A$1:J$78,10,0))),0)))</f>
        <v>0</v>
      </c>
      <c r="AD19" s="5">
        <f t="shared" si="4"/>
        <v>0</v>
      </c>
      <c r="AE19" s="5">
        <f t="shared" si="5"/>
        <v>0</v>
      </c>
    </row>
    <row r="20" spans="1:31" ht="15.5">
      <c r="A20" s="29" t="s">
        <v>283</v>
      </c>
      <c r="B20" s="29">
        <v>0</v>
      </c>
      <c r="C20" s="29"/>
      <c r="D20" s="29"/>
      <c r="E20" s="26" t="str">
        <f>Summary!C$23</f>
        <v>Afghanistan</v>
      </c>
      <c r="F20" s="29"/>
      <c r="G20" s="29" t="s">
        <v>369</v>
      </c>
      <c r="H20" s="33">
        <f>VLOOKUP(G20,'List Data'!$A$100:$B$104,2,0)</f>
        <v>0</v>
      </c>
      <c r="I20" s="29" t="s">
        <v>213</v>
      </c>
      <c r="J20" s="29" t="s">
        <v>213</v>
      </c>
      <c r="K20" s="29">
        <v>0</v>
      </c>
      <c r="L20" s="29"/>
      <c r="M20" s="37">
        <f>R20*Summary!$H$27</f>
        <v>0</v>
      </c>
      <c r="N20" s="37">
        <f>S20*Summary!$H$25</f>
        <v>0</v>
      </c>
      <c r="O20" s="26">
        <f>VLOOKUP(J20,'List Data'!A$2:C$94,3,0)</f>
        <v>0</v>
      </c>
      <c r="P20" s="26" t="str">
        <f>VLOOKUP(J20,'List Data'!A$2:B$94,2,0)</f>
        <v>--------</v>
      </c>
      <c r="Q20" s="26">
        <f t="shared" si="0"/>
        <v>0</v>
      </c>
      <c r="R20" s="26">
        <f t="shared" si="1"/>
        <v>0</v>
      </c>
      <c r="S20" s="26">
        <f t="shared" si="2"/>
        <v>0</v>
      </c>
      <c r="T20" s="26">
        <f>(IF(AND((O20="OP"),(I20="Child (0-7 years)")),VLOOKUP(K20,'OP Values'!$A$1:$Q$35,7),))*H20</f>
        <v>0</v>
      </c>
      <c r="U20" s="26">
        <f>(IF(O20="OP",VLOOKUP($Q20,'OP Values'!$A$1:$Q$35,17),))*H20</f>
        <v>0</v>
      </c>
      <c r="V20" s="26">
        <f>(IF(AND((O20="Pb"),(I20="Child (0-7 years)")),(VLOOKUP(Q20,Pb!$A$1:$AV$103,7)),0))*H20</f>
        <v>0</v>
      </c>
      <c r="W20" s="26">
        <f>(IF(AND((O20="Pb"),(I20="Child (0-7 years)")),(VLOOKUP(Q20,Pb!$C$2:$AV$103,20)),0))*H20</f>
        <v>0</v>
      </c>
      <c r="X20" s="26">
        <f>(IF(AND((O20="Pb"),(I20="Adult (&gt; 15 years)")),(VLOOKUP(Q20,Pb!$A$2:$AV$103,46)),0))*H20</f>
        <v>0</v>
      </c>
      <c r="Y20" s="26">
        <f>(IF(AND((O20="Hg"),(I20="Child (0-7 years)")),(VLOOKUP(Q20,'Hg Values'!$A$1:$M$30,3)),0))*H20</f>
        <v>0</v>
      </c>
      <c r="Z20" s="26">
        <f>(IF(AND((O20="Hg"),(I20="Child (0-7 years)")),(VLOOKUP(Q20,'Hg Values'!$A$1:$M$30,13)),0))*H20</f>
        <v>0</v>
      </c>
      <c r="AA20" s="5">
        <f>(((IF(AND((O20="CA"),(I20="Adult (&gt; 15 years)")),((Q20*1)/70)*(VLOOKUP(J20,CA_ingestion!A$1:J$78,4,0)),0))))/11</f>
        <v>0</v>
      </c>
      <c r="AB20" s="5">
        <f t="shared" si="3"/>
        <v>0</v>
      </c>
      <c r="AC20" s="5">
        <f>((IF(AND((O20="CA"),(I20="Adult (&gt; 15 years)")),(AB20*(VLOOKUP(J20,CA_ingestion!A$1:J$78,10,0))),0)))</f>
        <v>0</v>
      </c>
      <c r="AD20" s="5">
        <f t="shared" si="4"/>
        <v>0</v>
      </c>
      <c r="AE20" s="5">
        <f t="shared" si="5"/>
        <v>0</v>
      </c>
    </row>
    <row r="21" spans="1:31" ht="15.5">
      <c r="A21" s="29" t="s">
        <v>283</v>
      </c>
      <c r="B21" s="29">
        <v>0</v>
      </c>
      <c r="C21" s="29"/>
      <c r="D21" s="29"/>
      <c r="E21" s="26" t="str">
        <f>Summary!C$23</f>
        <v>Afghanistan</v>
      </c>
      <c r="F21" s="29"/>
      <c r="G21" s="29" t="s">
        <v>369</v>
      </c>
      <c r="H21" s="33">
        <f>VLOOKUP(G21,'List Data'!$A$100:$B$104,2,0)</f>
        <v>0</v>
      </c>
      <c r="I21" s="29" t="s">
        <v>213</v>
      </c>
      <c r="J21" s="29" t="s">
        <v>213</v>
      </c>
      <c r="K21" s="29">
        <v>0</v>
      </c>
      <c r="L21" s="29"/>
      <c r="M21" s="37">
        <f>R21*Summary!$H$27</f>
        <v>0</v>
      </c>
      <c r="N21" s="37">
        <f>S21*Summary!$H$25</f>
        <v>0</v>
      </c>
      <c r="O21" s="26">
        <f>VLOOKUP(J21,'List Data'!A$2:C$94,3,0)</f>
        <v>0</v>
      </c>
      <c r="P21" s="26" t="str">
        <f>VLOOKUP(J21,'List Data'!A$2:B$94,2,0)</f>
        <v>--------</v>
      </c>
      <c r="Q21" s="26">
        <f t="shared" si="0"/>
        <v>0</v>
      </c>
      <c r="R21" s="26">
        <f t="shared" si="1"/>
        <v>0</v>
      </c>
      <c r="S21" s="26">
        <f t="shared" si="2"/>
        <v>0</v>
      </c>
      <c r="T21" s="26">
        <f>(IF(AND((O21="OP"),(I21="Child (0-7 years)")),VLOOKUP(K21,'OP Values'!$A$1:$Q$35,7),))*H21</f>
        <v>0</v>
      </c>
      <c r="U21" s="26">
        <f>(IF(O21="OP",VLOOKUP($Q21,'OP Values'!$A$1:$Q$35,17),))*H21</f>
        <v>0</v>
      </c>
      <c r="V21" s="26">
        <f>(IF(AND((O21="Pb"),(I21="Child (0-7 years)")),(VLOOKUP(Q21,Pb!$A$1:$AV$103,7)),0))*H21</f>
        <v>0</v>
      </c>
      <c r="W21" s="26">
        <f>(IF(AND((O21="Pb"),(I21="Child (0-7 years)")),(VLOOKUP(Q21,Pb!$C$2:$AV$103,20)),0))*H21</f>
        <v>0</v>
      </c>
      <c r="X21" s="26">
        <f>(IF(AND((O21="Pb"),(I21="Adult (&gt; 15 years)")),(VLOOKUP(Q21,Pb!$A$2:$AV$103,46)),0))*H21</f>
        <v>0</v>
      </c>
      <c r="Y21" s="26">
        <f>(IF(AND((O21="Hg"),(I21="Child (0-7 years)")),(VLOOKUP(Q21,'Hg Values'!$A$1:$M$30,3)),0))*H21</f>
        <v>0</v>
      </c>
      <c r="Z21" s="26">
        <f>(IF(AND((O21="Hg"),(I21="Child (0-7 years)")),(VLOOKUP(Q21,'Hg Values'!$A$1:$M$30,13)),0))*H21</f>
        <v>0</v>
      </c>
      <c r="AA21" s="5">
        <f>(((IF(AND((O21="CA"),(I21="Adult (&gt; 15 years)")),((Q21*1)/70)*(VLOOKUP(J21,CA_ingestion!A$1:J$78,4,0)),0))))/11</f>
        <v>0</v>
      </c>
      <c r="AB21" s="5">
        <f t="shared" si="3"/>
        <v>0</v>
      </c>
      <c r="AC21" s="5">
        <f>((IF(AND((O21="CA"),(I21="Adult (&gt; 15 years)")),(AB21*(VLOOKUP(J21,CA_ingestion!A$1:J$78,10,0))),0)))</f>
        <v>0</v>
      </c>
      <c r="AD21" s="5">
        <f t="shared" si="4"/>
        <v>0</v>
      </c>
      <c r="AE21" s="5">
        <f t="shared" si="5"/>
        <v>0</v>
      </c>
    </row>
    <row r="22" spans="1:31" ht="15.5">
      <c r="A22" s="29" t="s">
        <v>283</v>
      </c>
      <c r="B22" s="29">
        <v>0</v>
      </c>
      <c r="C22" s="29"/>
      <c r="D22" s="29"/>
      <c r="E22" s="26" t="str">
        <f>Summary!C$23</f>
        <v>Afghanistan</v>
      </c>
      <c r="F22" s="29"/>
      <c r="G22" s="29" t="s">
        <v>369</v>
      </c>
      <c r="H22" s="33">
        <f>VLOOKUP(G22,'List Data'!$A$100:$B$104,2,0)</f>
        <v>0</v>
      </c>
      <c r="I22" s="29" t="s">
        <v>213</v>
      </c>
      <c r="J22" s="29" t="s">
        <v>213</v>
      </c>
      <c r="K22" s="29">
        <v>0</v>
      </c>
      <c r="L22" s="29"/>
      <c r="M22" s="37">
        <f>R22*Summary!$H$27</f>
        <v>0</v>
      </c>
      <c r="N22" s="37">
        <f>S22*Summary!$H$25</f>
        <v>0</v>
      </c>
      <c r="O22" s="26">
        <f>VLOOKUP(J22,'List Data'!A$2:C$94,3,0)</f>
        <v>0</v>
      </c>
      <c r="P22" s="26" t="str">
        <f>VLOOKUP(J22,'List Data'!A$2:B$94,2,0)</f>
        <v>--------</v>
      </c>
      <c r="Q22" s="26">
        <f t="shared" si="0"/>
        <v>0</v>
      </c>
      <c r="R22" s="26">
        <f t="shared" si="1"/>
        <v>0</v>
      </c>
      <c r="S22" s="26">
        <f t="shared" si="2"/>
        <v>0</v>
      </c>
      <c r="T22" s="26">
        <f>(IF(AND((O22="OP"),(I22="Child (0-7 years)")),VLOOKUP(K22,'OP Values'!$A$1:$Q$35,7),))*H22</f>
        <v>0</v>
      </c>
      <c r="U22" s="26">
        <f>(IF(O22="OP",VLOOKUP($Q22,'OP Values'!$A$1:$Q$35,17),))*H22</f>
        <v>0</v>
      </c>
      <c r="V22" s="26">
        <f>(IF(AND((O22="Pb"),(I22="Child (0-7 years)")),(VLOOKUP(Q22,Pb!$A$1:$AV$103,7)),0))*H22</f>
        <v>0</v>
      </c>
      <c r="W22" s="26">
        <f>(IF(AND((O22="Pb"),(I22="Child (0-7 years)")),(VLOOKUP(Q22,Pb!$C$2:$AV$103,20)),0))*H22</f>
        <v>0</v>
      </c>
      <c r="X22" s="26">
        <f>(IF(AND((O22="Pb"),(I22="Adult (&gt; 15 years)")),(VLOOKUP(Q22,Pb!$A$2:$AV$103,46)),0))*H22</f>
        <v>0</v>
      </c>
      <c r="Y22" s="26">
        <f>(IF(AND((O22="Hg"),(I22="Child (0-7 years)")),(VLOOKUP(Q22,'Hg Values'!$A$1:$M$30,3)),0))*H22</f>
        <v>0</v>
      </c>
      <c r="Z22" s="26">
        <f>(IF(AND((O22="Hg"),(I22="Child (0-7 years)")),(VLOOKUP(Q22,'Hg Values'!$A$1:$M$30,13)),0))*H22</f>
        <v>0</v>
      </c>
      <c r="AA22" s="5">
        <f>(((IF(AND((O22="CA"),(I22="Adult (&gt; 15 years)")),((Q22*1)/70)*(VLOOKUP(J22,CA_ingestion!A$1:J$78,4,0)),0))))/11</f>
        <v>0</v>
      </c>
      <c r="AB22" s="5">
        <f t="shared" si="3"/>
        <v>0</v>
      </c>
      <c r="AC22" s="5">
        <f>((IF(AND((O22="CA"),(I22="Adult (&gt; 15 years)")),(AB22*(VLOOKUP(J22,CA_ingestion!A$1:J$78,10,0))),0)))</f>
        <v>0</v>
      </c>
      <c r="AD22" s="5">
        <f t="shared" si="4"/>
        <v>0</v>
      </c>
      <c r="AE22" s="5">
        <f t="shared" si="5"/>
        <v>0</v>
      </c>
    </row>
    <row r="23" spans="1:31" ht="15.5">
      <c r="A23" s="29" t="s">
        <v>283</v>
      </c>
      <c r="B23" s="29">
        <v>0</v>
      </c>
      <c r="C23" s="29"/>
      <c r="D23" s="29"/>
      <c r="E23" s="26" t="str">
        <f>Summary!C$23</f>
        <v>Afghanistan</v>
      </c>
      <c r="F23" s="29"/>
      <c r="G23" s="29" t="s">
        <v>369</v>
      </c>
      <c r="H23" s="33">
        <f>VLOOKUP(G23,'List Data'!$A$100:$B$104,2,0)</f>
        <v>0</v>
      </c>
      <c r="I23" s="29" t="s">
        <v>213</v>
      </c>
      <c r="J23" s="29" t="s">
        <v>213</v>
      </c>
      <c r="K23" s="29">
        <v>0</v>
      </c>
      <c r="L23" s="29"/>
      <c r="M23" s="37">
        <f>R23*Summary!$H$27</f>
        <v>0</v>
      </c>
      <c r="N23" s="37">
        <f>S23*Summary!$H$25</f>
        <v>0</v>
      </c>
      <c r="O23" s="26">
        <f>VLOOKUP(J23,'List Data'!A$2:C$94,3,0)</f>
        <v>0</v>
      </c>
      <c r="P23" s="26" t="str">
        <f>VLOOKUP(J23,'List Data'!A$2:B$94,2,0)</f>
        <v>--------</v>
      </c>
      <c r="Q23" s="26">
        <f t="shared" si="0"/>
        <v>0</v>
      </c>
      <c r="R23" s="26">
        <f t="shared" si="1"/>
        <v>0</v>
      </c>
      <c r="S23" s="26">
        <f t="shared" si="2"/>
        <v>0</v>
      </c>
      <c r="T23" s="26">
        <f>(IF(AND((O23="OP"),(I23="Child (0-7 years)")),VLOOKUP(K23,'OP Values'!$A$1:$Q$35,7),))*H23</f>
        <v>0</v>
      </c>
      <c r="U23" s="26">
        <f>(IF(O23="OP",VLOOKUP($Q23,'OP Values'!$A$1:$Q$35,17),))*H23</f>
        <v>0</v>
      </c>
      <c r="V23" s="26">
        <f>(IF(AND((O23="Pb"),(I23="Child (0-7 years)")),(VLOOKUP(Q23,Pb!$A$1:$AV$103,7)),0))*H23</f>
        <v>0</v>
      </c>
      <c r="W23" s="26">
        <f>(IF(AND((O23="Pb"),(I23="Child (0-7 years)")),(VLOOKUP(Q23,Pb!$C$2:$AV$103,20)),0))*H23</f>
        <v>0</v>
      </c>
      <c r="X23" s="26">
        <f>(IF(AND((O23="Pb"),(I23="Adult (&gt; 15 years)")),(VLOOKUP(Q23,Pb!$A$2:$AV$103,46)),0))*H23</f>
        <v>0</v>
      </c>
      <c r="Y23" s="26">
        <f>(IF(AND((O23="Hg"),(I23="Child (0-7 years)")),(VLOOKUP(Q23,'Hg Values'!$A$1:$M$30,3)),0))*H23</f>
        <v>0</v>
      </c>
      <c r="Z23" s="26">
        <f>(IF(AND((O23="Hg"),(I23="Child (0-7 years)")),(VLOOKUP(Q23,'Hg Values'!$A$1:$M$30,13)),0))*H23</f>
        <v>0</v>
      </c>
      <c r="AA23" s="5">
        <f>(((IF(AND((O23="CA"),(I23="Adult (&gt; 15 years)")),((Q23*1)/70)*(VLOOKUP(J23,CA_ingestion!A$1:J$78,4,0)),0))))/11</f>
        <v>0</v>
      </c>
      <c r="AB23" s="5">
        <f t="shared" si="3"/>
        <v>0</v>
      </c>
      <c r="AC23" s="5">
        <f>((IF(AND((O23="CA"),(I23="Adult (&gt; 15 years)")),(AB23*(VLOOKUP(J23,CA_ingestion!A$1:J$78,10,0))),0)))</f>
        <v>0</v>
      </c>
      <c r="AD23" s="5">
        <f t="shared" si="4"/>
        <v>0</v>
      </c>
      <c r="AE23" s="5">
        <f t="shared" si="5"/>
        <v>0</v>
      </c>
    </row>
    <row r="24" spans="1:31" ht="15.5">
      <c r="A24" s="29" t="s">
        <v>283</v>
      </c>
      <c r="B24" s="29">
        <v>0</v>
      </c>
      <c r="C24" s="29"/>
      <c r="D24" s="29"/>
      <c r="E24" s="26" t="str">
        <f>Summary!C$23</f>
        <v>Afghanistan</v>
      </c>
      <c r="F24" s="29"/>
      <c r="G24" s="29" t="s">
        <v>369</v>
      </c>
      <c r="H24" s="33">
        <f>VLOOKUP(G24,'List Data'!$A$100:$B$104,2,0)</f>
        <v>0</v>
      </c>
      <c r="I24" s="29" t="s">
        <v>213</v>
      </c>
      <c r="J24" s="29" t="s">
        <v>213</v>
      </c>
      <c r="K24" s="29">
        <v>0</v>
      </c>
      <c r="L24" s="29"/>
      <c r="M24" s="37">
        <f>R24*Summary!$H$27</f>
        <v>0</v>
      </c>
      <c r="N24" s="37">
        <f>S24*Summary!$H$25</f>
        <v>0</v>
      </c>
      <c r="O24" s="26">
        <f>VLOOKUP(J24,'List Data'!A$2:C$94,3,0)</f>
        <v>0</v>
      </c>
      <c r="P24" s="26" t="str">
        <f>VLOOKUP(J24,'List Data'!A$2:B$94,2,0)</f>
        <v>--------</v>
      </c>
      <c r="Q24" s="26">
        <f t="shared" si="0"/>
        <v>0</v>
      </c>
      <c r="R24" s="26">
        <f t="shared" si="1"/>
        <v>0</v>
      </c>
      <c r="S24" s="26">
        <f t="shared" si="2"/>
        <v>0</v>
      </c>
      <c r="T24" s="26">
        <f>(IF(AND((O24="OP"),(I24="Child (0-7 years)")),VLOOKUP(K24,'OP Values'!$A$1:$Q$35,7),))*H24</f>
        <v>0</v>
      </c>
      <c r="U24" s="26">
        <f>(IF(O24="OP",VLOOKUP($Q24,'OP Values'!$A$1:$Q$35,17),))*H24</f>
        <v>0</v>
      </c>
      <c r="V24" s="26">
        <f>(IF(AND((O24="Pb"),(I24="Child (0-7 years)")),(VLOOKUP(Q24,Pb!$A$1:$AV$103,7)),0))*H24</f>
        <v>0</v>
      </c>
      <c r="W24" s="26">
        <f>(IF(AND((O24="Pb"),(I24="Child (0-7 years)")),(VLOOKUP(Q24,Pb!$C$2:$AV$103,20)),0))*H24</f>
        <v>0</v>
      </c>
      <c r="X24" s="26">
        <f>(IF(AND((O24="Pb"),(I24="Adult (&gt; 15 years)")),(VLOOKUP(Q24,Pb!$A$2:$AV$103,46)),0))*H24</f>
        <v>0</v>
      </c>
      <c r="Y24" s="26">
        <f>(IF(AND((O24="Hg"),(I24="Child (0-7 years)")),(VLOOKUP(Q24,'Hg Values'!$A$1:$M$30,3)),0))*H24</f>
        <v>0</v>
      </c>
      <c r="Z24" s="26">
        <f>(IF(AND((O24="Hg"),(I24="Child (0-7 years)")),(VLOOKUP(Q24,'Hg Values'!$A$1:$M$30,13)),0))*H24</f>
        <v>0</v>
      </c>
      <c r="AA24" s="5">
        <f>(((IF(AND((O24="CA"),(I24="Adult (&gt; 15 years)")),((Q24*1)/70)*(VLOOKUP(J24,CA_ingestion!A$1:J$78,4,0)),0))))/11</f>
        <v>0</v>
      </c>
      <c r="AB24" s="5">
        <f t="shared" si="3"/>
        <v>0</v>
      </c>
      <c r="AC24" s="5">
        <f>((IF(AND((O24="CA"),(I24="Adult (&gt; 15 years)")),(AB24*(VLOOKUP(J24,CA_ingestion!A$1:J$78,10,0))),0)))</f>
        <v>0</v>
      </c>
      <c r="AD24" s="5">
        <f t="shared" si="4"/>
        <v>0</v>
      </c>
      <c r="AE24" s="5">
        <f t="shared" si="5"/>
        <v>0</v>
      </c>
    </row>
    <row r="25" spans="1:31" ht="15.5">
      <c r="A25" s="29" t="s">
        <v>283</v>
      </c>
      <c r="B25" s="29">
        <v>0</v>
      </c>
      <c r="C25" s="29"/>
      <c r="D25" s="29"/>
      <c r="E25" s="26" t="str">
        <f>Summary!C$23</f>
        <v>Afghanistan</v>
      </c>
      <c r="F25" s="29"/>
      <c r="G25" s="29" t="s">
        <v>369</v>
      </c>
      <c r="H25" s="33">
        <f>VLOOKUP(G25,'List Data'!$A$100:$B$104,2,0)</f>
        <v>0</v>
      </c>
      <c r="I25" s="29" t="s">
        <v>213</v>
      </c>
      <c r="J25" s="29" t="s">
        <v>213</v>
      </c>
      <c r="K25" s="29">
        <v>0</v>
      </c>
      <c r="L25" s="29"/>
      <c r="M25" s="37">
        <f>R25*Summary!$H$27</f>
        <v>0</v>
      </c>
      <c r="N25" s="37">
        <f>S25*Summary!$H$25</f>
        <v>0</v>
      </c>
      <c r="O25" s="26">
        <f>VLOOKUP(J25,'List Data'!A$2:C$94,3,0)</f>
        <v>0</v>
      </c>
      <c r="P25" s="26" t="str">
        <f>VLOOKUP(J25,'List Data'!A$2:B$94,2,0)</f>
        <v>--------</v>
      </c>
      <c r="Q25" s="26">
        <f t="shared" si="0"/>
        <v>0</v>
      </c>
      <c r="R25" s="26">
        <f t="shared" si="1"/>
        <v>0</v>
      </c>
      <c r="S25" s="26">
        <f t="shared" si="2"/>
        <v>0</v>
      </c>
      <c r="T25" s="26">
        <f>(IF(AND((O25="OP"),(I25="Child (0-7 years)")),VLOOKUP(K25,'OP Values'!$A$1:$Q$35,7),))*H25</f>
        <v>0</v>
      </c>
      <c r="U25" s="26">
        <f>(IF(O25="OP",VLOOKUP($Q25,'OP Values'!$A$1:$Q$35,17),))*H25</f>
        <v>0</v>
      </c>
      <c r="V25" s="26">
        <f>(IF(AND((O25="Pb"),(I25="Child (0-7 years)")),(VLOOKUP(Q25,Pb!$A$1:$AV$103,7)),0))*H25</f>
        <v>0</v>
      </c>
      <c r="W25" s="26">
        <f>(IF(AND((O25="Pb"),(I25="Child (0-7 years)")),(VLOOKUP(Q25,Pb!$C$2:$AV$103,20)),0))*H25</f>
        <v>0</v>
      </c>
      <c r="X25" s="26">
        <f>(IF(AND((O25="Pb"),(I25="Adult (&gt; 15 years)")),(VLOOKUP(Q25,Pb!$A$2:$AV$103,46)),0))*H25</f>
        <v>0</v>
      </c>
      <c r="Y25" s="26">
        <f>(IF(AND((O25="Hg"),(I25="Child (0-7 years)")),(VLOOKUP(Q25,'Hg Values'!$A$1:$M$30,3)),0))*H25</f>
        <v>0</v>
      </c>
      <c r="Z25" s="26">
        <f>(IF(AND((O25="Hg"),(I25="Child (0-7 years)")),(VLOOKUP(Q25,'Hg Values'!$A$1:$M$30,13)),0))*H25</f>
        <v>0</v>
      </c>
      <c r="AA25" s="5">
        <f>(((IF(AND((O25="CA"),(I25="Adult (&gt; 15 years)")),((Q25*1)/70)*(VLOOKUP(J25,CA_ingestion!A$1:J$78,4,0)),0))))/11</f>
        <v>0</v>
      </c>
      <c r="AB25" s="5">
        <f t="shared" si="3"/>
        <v>0</v>
      </c>
      <c r="AC25" s="5">
        <f>((IF(AND((O25="CA"),(I25="Adult (&gt; 15 years)")),(AB25*(VLOOKUP(J25,CA_ingestion!A$1:J$78,10,0))),0)))</f>
        <v>0</v>
      </c>
      <c r="AD25" s="5">
        <f t="shared" si="4"/>
        <v>0</v>
      </c>
      <c r="AE25" s="5">
        <f t="shared" si="5"/>
        <v>0</v>
      </c>
    </row>
    <row r="26" spans="1:31" ht="15.5">
      <c r="A26" s="29" t="s">
        <v>283</v>
      </c>
      <c r="B26" s="29">
        <v>0</v>
      </c>
      <c r="C26" s="29"/>
      <c r="D26" s="29"/>
      <c r="E26" s="26" t="str">
        <f>Summary!C$23</f>
        <v>Afghanistan</v>
      </c>
      <c r="F26" s="29"/>
      <c r="G26" s="29" t="s">
        <v>369</v>
      </c>
      <c r="H26" s="33">
        <f>VLOOKUP(G26,'List Data'!$A$100:$B$104,2,0)</f>
        <v>0</v>
      </c>
      <c r="I26" s="29" t="s">
        <v>213</v>
      </c>
      <c r="J26" s="29" t="s">
        <v>213</v>
      </c>
      <c r="K26" s="29">
        <v>0</v>
      </c>
      <c r="L26" s="29"/>
      <c r="M26" s="37">
        <f>R26*Summary!$H$27</f>
        <v>0</v>
      </c>
      <c r="N26" s="37">
        <f>S26*Summary!$H$25</f>
        <v>0</v>
      </c>
      <c r="O26" s="26">
        <f>VLOOKUP(J26,'List Data'!A$2:C$94,3,0)</f>
        <v>0</v>
      </c>
      <c r="P26" s="26" t="str">
        <f>VLOOKUP(J26,'List Data'!A$2:B$94,2,0)</f>
        <v>--------</v>
      </c>
      <c r="Q26" s="26">
        <f t="shared" si="0"/>
        <v>0</v>
      </c>
      <c r="R26" s="26">
        <f t="shared" si="1"/>
        <v>0</v>
      </c>
      <c r="S26" s="26">
        <f t="shared" si="2"/>
        <v>0</v>
      </c>
      <c r="T26" s="26">
        <f>(IF(AND((O26="OP"),(I26="Child (0-7 years)")),VLOOKUP(K26,'OP Values'!$A$1:$Q$35,7),))*H26</f>
        <v>0</v>
      </c>
      <c r="U26" s="26">
        <f>(IF(O26="OP",VLOOKUP($Q26,'OP Values'!$A$1:$Q$35,17),))*H26</f>
        <v>0</v>
      </c>
      <c r="V26" s="26">
        <f>(IF(AND((O26="Pb"),(I26="Child (0-7 years)")),(VLOOKUP(Q26,Pb!$A$1:$AV$103,7)),0))*H26</f>
        <v>0</v>
      </c>
      <c r="W26" s="26">
        <f>(IF(AND((O26="Pb"),(I26="Child (0-7 years)")),(VLOOKUP(Q26,Pb!$C$2:$AV$103,20)),0))*H26</f>
        <v>0</v>
      </c>
      <c r="X26" s="26">
        <f>(IF(AND((O26="Pb"),(I26="Adult (&gt; 15 years)")),(VLOOKUP(Q26,Pb!$A$2:$AV$103,46)),0))*H26</f>
        <v>0</v>
      </c>
      <c r="Y26" s="26">
        <f>(IF(AND((O26="Hg"),(I26="Child (0-7 years)")),(VLOOKUP(Q26,'Hg Values'!$A$1:$M$30,3)),0))*H26</f>
        <v>0</v>
      </c>
      <c r="Z26" s="26">
        <f>(IF(AND((O26="Hg"),(I26="Child (0-7 years)")),(VLOOKUP(Q26,'Hg Values'!$A$1:$M$30,13)),0))*H26</f>
        <v>0</v>
      </c>
      <c r="AA26" s="5">
        <f>(((IF(AND((O26="CA"),(I26="Adult (&gt; 15 years)")),((Q26*1)/70)*(VLOOKUP(J26,CA_ingestion!A$1:J$78,4,0)),0))))/11</f>
        <v>0</v>
      </c>
      <c r="AB26" s="5">
        <f t="shared" si="3"/>
        <v>0</v>
      </c>
      <c r="AC26" s="5">
        <f>((IF(AND((O26="CA"),(I26="Adult (&gt; 15 years)")),(AB26*(VLOOKUP(J26,CA_ingestion!A$1:J$78,10,0))),0)))</f>
        <v>0</v>
      </c>
      <c r="AD26" s="5">
        <f t="shared" si="4"/>
        <v>0</v>
      </c>
      <c r="AE26" s="5">
        <f t="shared" si="5"/>
        <v>0</v>
      </c>
    </row>
    <row r="27" spans="1:31" ht="15.5">
      <c r="A27" s="29" t="s">
        <v>283</v>
      </c>
      <c r="B27" s="29">
        <v>0</v>
      </c>
      <c r="C27" s="29"/>
      <c r="D27" s="29"/>
      <c r="E27" s="26" t="str">
        <f>Summary!C$23</f>
        <v>Afghanistan</v>
      </c>
      <c r="F27" s="29"/>
      <c r="G27" s="29" t="s">
        <v>369</v>
      </c>
      <c r="H27" s="33">
        <f>VLOOKUP(G27,'List Data'!$A$100:$B$104,2,0)</f>
        <v>0</v>
      </c>
      <c r="I27" s="29" t="s">
        <v>213</v>
      </c>
      <c r="J27" s="29" t="s">
        <v>213</v>
      </c>
      <c r="K27" s="29">
        <v>0</v>
      </c>
      <c r="L27" s="29"/>
      <c r="M27" s="37">
        <f>R27*Summary!$H$27</f>
        <v>0</v>
      </c>
      <c r="N27" s="37">
        <f>S27*Summary!$H$25</f>
        <v>0</v>
      </c>
      <c r="O27" s="26">
        <f>VLOOKUP(J27,'List Data'!A$2:C$94,3,0)</f>
        <v>0</v>
      </c>
      <c r="P27" s="26" t="str">
        <f>VLOOKUP(J27,'List Data'!A$2:B$94,2,0)</f>
        <v>--------</v>
      </c>
      <c r="Q27" s="26">
        <f t="shared" si="0"/>
        <v>0</v>
      </c>
      <c r="R27" s="26">
        <f t="shared" si="1"/>
        <v>0</v>
      </c>
      <c r="S27" s="26">
        <f t="shared" si="2"/>
        <v>0</v>
      </c>
      <c r="T27" s="26">
        <f>(IF(AND((O27="OP"),(I27="Child (0-7 years)")),VLOOKUP(K27,'OP Values'!$A$1:$Q$35,7),))*H27</f>
        <v>0</v>
      </c>
      <c r="U27" s="26">
        <f>(IF(O27="OP",VLOOKUP($Q27,'OP Values'!$A$1:$Q$35,17),))*H27</f>
        <v>0</v>
      </c>
      <c r="V27" s="26">
        <f>(IF(AND((O27="Pb"),(I27="Child (0-7 years)")),(VLOOKUP(Q27,Pb!$A$1:$AV$103,7)),0))*H27</f>
        <v>0</v>
      </c>
      <c r="W27" s="26">
        <f>(IF(AND((O27="Pb"),(I27="Child (0-7 years)")),(VLOOKUP(Q27,Pb!$C$2:$AV$103,20)),0))*H27</f>
        <v>0</v>
      </c>
      <c r="X27" s="26">
        <f>(IF(AND((O27="Pb"),(I27="Adult (&gt; 15 years)")),(VLOOKUP(Q27,Pb!$A$2:$AV$103,46)),0))*H27</f>
        <v>0</v>
      </c>
      <c r="Y27" s="26">
        <f>(IF(AND((O27="Hg"),(I27="Child (0-7 years)")),(VLOOKUP(Q27,'Hg Values'!$A$1:$M$30,3)),0))*H27</f>
        <v>0</v>
      </c>
      <c r="Z27" s="26">
        <f>(IF(AND((O27="Hg"),(I27="Child (0-7 years)")),(VLOOKUP(Q27,'Hg Values'!$A$1:$M$30,13)),0))*H27</f>
        <v>0</v>
      </c>
      <c r="AA27" s="5">
        <f>(((IF(AND((O27="CA"),(I27="Adult (&gt; 15 years)")),((Q27*1)/70)*(VLOOKUP(J27,CA_ingestion!A$1:J$78,4,0)),0))))/11</f>
        <v>0</v>
      </c>
      <c r="AB27" s="5">
        <f t="shared" si="3"/>
        <v>0</v>
      </c>
      <c r="AC27" s="5">
        <f>((IF(AND((O27="CA"),(I27="Adult (&gt; 15 years)")),(AB27*(VLOOKUP(J27,CA_ingestion!A$1:J$78,10,0))),0)))</f>
        <v>0</v>
      </c>
      <c r="AD27" s="5">
        <f t="shared" si="4"/>
        <v>0</v>
      </c>
      <c r="AE27" s="5">
        <f t="shared" si="5"/>
        <v>0</v>
      </c>
    </row>
    <row r="28" spans="1:31" ht="15.5">
      <c r="A28" s="29" t="s">
        <v>283</v>
      </c>
      <c r="B28" s="29">
        <v>0</v>
      </c>
      <c r="C28" s="29"/>
      <c r="D28" s="29"/>
      <c r="E28" s="26" t="str">
        <f>Summary!C$23</f>
        <v>Afghanistan</v>
      </c>
      <c r="F28" s="29"/>
      <c r="G28" s="29" t="s">
        <v>369</v>
      </c>
      <c r="H28" s="33">
        <f>VLOOKUP(G28,'List Data'!$A$100:$B$104,2,0)</f>
        <v>0</v>
      </c>
      <c r="I28" s="29" t="s">
        <v>213</v>
      </c>
      <c r="J28" s="29" t="s">
        <v>213</v>
      </c>
      <c r="K28" s="29">
        <v>0</v>
      </c>
      <c r="L28" s="29"/>
      <c r="M28" s="37">
        <f>R28*Summary!$H$27</f>
        <v>0</v>
      </c>
      <c r="N28" s="37">
        <f>S28*Summary!$H$25</f>
        <v>0</v>
      </c>
      <c r="O28" s="26">
        <f>VLOOKUP(J28,'List Data'!A$2:C$94,3,0)</f>
        <v>0</v>
      </c>
      <c r="P28" s="26" t="str">
        <f>VLOOKUP(J28,'List Data'!A$2:B$94,2,0)</f>
        <v>--------</v>
      </c>
      <c r="Q28" s="26">
        <f t="shared" si="0"/>
        <v>0</v>
      </c>
      <c r="R28" s="26">
        <f t="shared" si="1"/>
        <v>0</v>
      </c>
      <c r="S28" s="26">
        <f t="shared" si="2"/>
        <v>0</v>
      </c>
      <c r="T28" s="26">
        <f>(IF(AND((O28="OP"),(I28="Child (0-7 years)")),VLOOKUP(K28,'OP Values'!$A$1:$Q$35,7),))*H28</f>
        <v>0</v>
      </c>
      <c r="U28" s="26">
        <f>(IF(O28="OP",VLOOKUP($Q28,'OP Values'!$A$1:$Q$35,17),))*H28</f>
        <v>0</v>
      </c>
      <c r="V28" s="26">
        <f>(IF(AND((O28="Pb"),(I28="Child (0-7 years)")),(VLOOKUP(Q28,Pb!$A$1:$AV$103,7)),0))*H28</f>
        <v>0</v>
      </c>
      <c r="W28" s="26">
        <f>(IF(AND((O28="Pb"),(I28="Child (0-7 years)")),(VLOOKUP(Q28,Pb!$C$2:$AV$103,20)),0))*H28</f>
        <v>0</v>
      </c>
      <c r="X28" s="26">
        <f>(IF(AND((O28="Pb"),(I28="Adult (&gt; 15 years)")),(VLOOKUP(Q28,Pb!$A$2:$AV$103,46)),0))*H28</f>
        <v>0</v>
      </c>
      <c r="Y28" s="26">
        <f>(IF(AND((O28="Hg"),(I28="Child (0-7 years)")),(VLOOKUP(Q28,'Hg Values'!$A$1:$M$30,3)),0))*H28</f>
        <v>0</v>
      </c>
      <c r="Z28" s="26">
        <f>(IF(AND((O28="Hg"),(I28="Child (0-7 years)")),(VLOOKUP(Q28,'Hg Values'!$A$1:$M$30,13)),0))*H28</f>
        <v>0</v>
      </c>
      <c r="AA28" s="5">
        <f>(((IF(AND((O28="CA"),(I28="Adult (&gt; 15 years)")),((Q28*1)/70)*(VLOOKUP(J28,CA_ingestion!A$1:J$78,4,0)),0))))/11</f>
        <v>0</v>
      </c>
      <c r="AB28" s="5">
        <f t="shared" si="3"/>
        <v>0</v>
      </c>
      <c r="AC28" s="5">
        <f>((IF(AND((O28="CA"),(I28="Adult (&gt; 15 years)")),(AB28*(VLOOKUP(J28,CA_ingestion!A$1:J$78,10,0))),0)))</f>
        <v>0</v>
      </c>
      <c r="AD28" s="5">
        <f t="shared" si="4"/>
        <v>0</v>
      </c>
      <c r="AE28" s="5">
        <f t="shared" si="5"/>
        <v>0</v>
      </c>
    </row>
    <row r="29" spans="1:31" ht="15.5">
      <c r="A29" s="29" t="s">
        <v>283</v>
      </c>
      <c r="B29" s="29">
        <v>0</v>
      </c>
      <c r="C29" s="29"/>
      <c r="D29" s="29"/>
      <c r="E29" s="26" t="str">
        <f>Summary!C$23</f>
        <v>Afghanistan</v>
      </c>
      <c r="F29" s="29"/>
      <c r="G29" s="29" t="s">
        <v>369</v>
      </c>
      <c r="H29" s="33">
        <f>VLOOKUP(G29,'List Data'!$A$100:$B$104,2,0)</f>
        <v>0</v>
      </c>
      <c r="I29" s="29" t="s">
        <v>213</v>
      </c>
      <c r="J29" s="29" t="s">
        <v>213</v>
      </c>
      <c r="K29" s="29">
        <v>0</v>
      </c>
      <c r="L29" s="29"/>
      <c r="M29" s="37">
        <f>R29*Summary!$H$27</f>
        <v>0</v>
      </c>
      <c r="N29" s="37">
        <f>S29*Summary!$H$25</f>
        <v>0</v>
      </c>
      <c r="O29" s="26">
        <f>VLOOKUP(J29,'List Data'!A$2:C$94,3,0)</f>
        <v>0</v>
      </c>
      <c r="P29" s="26" t="str">
        <f>VLOOKUP(J29,'List Data'!A$2:B$94,2,0)</f>
        <v>--------</v>
      </c>
      <c r="Q29" s="26">
        <f t="shared" si="0"/>
        <v>0</v>
      </c>
      <c r="R29" s="26">
        <f t="shared" si="1"/>
        <v>0</v>
      </c>
      <c r="S29" s="26">
        <f t="shared" si="2"/>
        <v>0</v>
      </c>
      <c r="T29" s="26">
        <f>(IF(AND((O29="OP"),(I29="Child (0-7 years)")),VLOOKUP(K29,'OP Values'!$A$1:$Q$35,7),))*H29</f>
        <v>0</v>
      </c>
      <c r="U29" s="26">
        <f>(IF(O29="OP",VLOOKUP($Q29,'OP Values'!$A$1:$Q$35,17),))*H29</f>
        <v>0</v>
      </c>
      <c r="V29" s="26">
        <f>(IF(AND((O29="Pb"),(I29="Child (0-7 years)")),(VLOOKUP(Q29,Pb!$A$1:$AV$103,7)),0))*H29</f>
        <v>0</v>
      </c>
      <c r="W29" s="26">
        <f>(IF(AND((O29="Pb"),(I29="Child (0-7 years)")),(VLOOKUP(Q29,Pb!$C$2:$AV$103,20)),0))*H29</f>
        <v>0</v>
      </c>
      <c r="X29" s="26">
        <f>(IF(AND((O29="Pb"),(I29="Adult (&gt; 15 years)")),(VLOOKUP(Q29,Pb!$A$2:$AV$103,46)),0))*H29</f>
        <v>0</v>
      </c>
      <c r="Y29" s="26">
        <f>(IF(AND((O29="Hg"),(I29="Child (0-7 years)")),(VLOOKUP(Q29,'Hg Values'!$A$1:$M$30,3)),0))*H29</f>
        <v>0</v>
      </c>
      <c r="Z29" s="26">
        <f>(IF(AND((O29="Hg"),(I29="Child (0-7 years)")),(VLOOKUP(Q29,'Hg Values'!$A$1:$M$30,13)),0))*H29</f>
        <v>0</v>
      </c>
      <c r="AA29" s="5">
        <f>(((IF(AND((O29="CA"),(I29="Adult (&gt; 15 years)")),((Q29*1)/70)*(VLOOKUP(J29,CA_ingestion!A$1:J$78,4,0)),0))))/11</f>
        <v>0</v>
      </c>
      <c r="AB29" s="5">
        <f t="shared" si="3"/>
        <v>0</v>
      </c>
      <c r="AC29" s="5">
        <f>((IF(AND((O29="CA"),(I29="Adult (&gt; 15 years)")),(AB29*(VLOOKUP(J29,CA_ingestion!A$1:J$78,10,0))),0)))</f>
        <v>0</v>
      </c>
      <c r="AD29" s="5">
        <f t="shared" si="4"/>
        <v>0</v>
      </c>
      <c r="AE29" s="5">
        <f t="shared" si="5"/>
        <v>0</v>
      </c>
    </row>
    <row r="30" spans="1:31" ht="15.5">
      <c r="A30" s="29" t="s">
        <v>283</v>
      </c>
      <c r="B30" s="29">
        <v>0</v>
      </c>
      <c r="C30" s="29"/>
      <c r="D30" s="29"/>
      <c r="E30" s="26" t="str">
        <f>Summary!C$23</f>
        <v>Afghanistan</v>
      </c>
      <c r="F30" s="29"/>
      <c r="G30" s="29" t="s">
        <v>369</v>
      </c>
      <c r="H30" s="33">
        <f>VLOOKUP(G30,'List Data'!$A$100:$B$104,2,0)</f>
        <v>0</v>
      </c>
      <c r="I30" s="29" t="s">
        <v>213</v>
      </c>
      <c r="J30" s="29" t="s">
        <v>213</v>
      </c>
      <c r="K30" s="29">
        <v>0</v>
      </c>
      <c r="L30" s="29"/>
      <c r="M30" s="37">
        <f>R30*Summary!$H$27</f>
        <v>0</v>
      </c>
      <c r="N30" s="37">
        <f>S30*Summary!$H$25</f>
        <v>0</v>
      </c>
      <c r="O30" s="26">
        <f>VLOOKUP(J30,'List Data'!A$2:C$94,3,0)</f>
        <v>0</v>
      </c>
      <c r="P30" s="26" t="str">
        <f>VLOOKUP(J30,'List Data'!A$2:B$94,2,0)</f>
        <v>--------</v>
      </c>
      <c r="Q30" s="26">
        <f t="shared" si="0"/>
        <v>0</v>
      </c>
      <c r="R30" s="26">
        <f t="shared" si="1"/>
        <v>0</v>
      </c>
      <c r="S30" s="26">
        <f t="shared" si="2"/>
        <v>0</v>
      </c>
      <c r="T30" s="26">
        <f>(IF(AND((O30="OP"),(I30="Child (0-7 years)")),VLOOKUP(K30,'OP Values'!$A$1:$Q$35,7),))*H30</f>
        <v>0</v>
      </c>
      <c r="U30" s="26">
        <f>(IF(O30="OP",VLOOKUP($Q30,'OP Values'!$A$1:$Q$35,17),))*H30</f>
        <v>0</v>
      </c>
      <c r="V30" s="26">
        <f>(IF(AND((O30="Pb"),(I30="Child (0-7 years)")),(VLOOKUP(Q30,Pb!$A$1:$AV$103,7)),0))*H30</f>
        <v>0</v>
      </c>
      <c r="W30" s="26">
        <f>(IF(AND((O30="Pb"),(I30="Child (0-7 years)")),(VLOOKUP(Q30,Pb!$C$2:$AV$103,20)),0))*H30</f>
        <v>0</v>
      </c>
      <c r="X30" s="26">
        <f>(IF(AND((O30="Pb"),(I30="Adult (&gt; 15 years)")),(VLOOKUP(Q30,Pb!$A$2:$AV$103,46)),0))*H30</f>
        <v>0</v>
      </c>
      <c r="Y30" s="26">
        <f>(IF(AND((O30="Hg"),(I30="Child (0-7 years)")),(VLOOKUP(Q30,'Hg Values'!$A$1:$M$30,3)),0))*H30</f>
        <v>0</v>
      </c>
      <c r="Z30" s="26">
        <f>(IF(AND((O30="Hg"),(I30="Child (0-7 years)")),(VLOOKUP(Q30,'Hg Values'!$A$1:$M$30,13)),0))*H30</f>
        <v>0</v>
      </c>
      <c r="AA30" s="5">
        <f>(((IF(AND((O30="CA"),(I30="Adult (&gt; 15 years)")),((Q30*1)/70)*(VLOOKUP(J30,CA_ingestion!A$1:J$78,4,0)),0))))/11</f>
        <v>0</v>
      </c>
      <c r="AB30" s="5">
        <f t="shared" si="3"/>
        <v>0</v>
      </c>
      <c r="AC30" s="5">
        <f>((IF(AND((O30="CA"),(I30="Adult (&gt; 15 years)")),(AB30*(VLOOKUP(J30,CA_ingestion!A$1:J$78,10,0))),0)))</f>
        <v>0</v>
      </c>
      <c r="AD30" s="5">
        <f t="shared" si="4"/>
        <v>0</v>
      </c>
      <c r="AE30" s="5">
        <f t="shared" si="5"/>
        <v>0</v>
      </c>
    </row>
    <row r="31" spans="1:31" ht="15.5">
      <c r="A31" s="29" t="s">
        <v>283</v>
      </c>
      <c r="B31" s="29">
        <v>0</v>
      </c>
      <c r="C31" s="29"/>
      <c r="D31" s="29"/>
      <c r="E31" s="26" t="str">
        <f>Summary!C$23</f>
        <v>Afghanistan</v>
      </c>
      <c r="F31" s="29"/>
      <c r="G31" s="29" t="s">
        <v>369</v>
      </c>
      <c r="H31" s="33">
        <f>VLOOKUP(G31,'List Data'!$A$100:$B$104,2,0)</f>
        <v>0</v>
      </c>
      <c r="I31" s="29" t="s">
        <v>213</v>
      </c>
      <c r="J31" s="29" t="s">
        <v>213</v>
      </c>
      <c r="K31" s="29">
        <v>0</v>
      </c>
      <c r="L31" s="29"/>
      <c r="M31" s="37">
        <f>R31*Summary!$H$27</f>
        <v>0</v>
      </c>
      <c r="N31" s="37">
        <f>S31*Summary!$H$25</f>
        <v>0</v>
      </c>
      <c r="O31" s="26">
        <f>VLOOKUP(J31,'List Data'!A$2:C$94,3,0)</f>
        <v>0</v>
      </c>
      <c r="P31" s="26" t="str">
        <f>VLOOKUP(J31,'List Data'!A$2:B$94,2,0)</f>
        <v>--------</v>
      </c>
      <c r="Q31" s="26">
        <f t="shared" si="0"/>
        <v>0</v>
      </c>
      <c r="R31" s="26">
        <f t="shared" si="1"/>
        <v>0</v>
      </c>
      <c r="S31" s="26">
        <f t="shared" si="2"/>
        <v>0</v>
      </c>
      <c r="T31" s="26">
        <f>(IF(AND((O31="OP"),(I31="Child (0-7 years)")),VLOOKUP(K31,'OP Values'!$A$1:$Q$35,7),))*H31</f>
        <v>0</v>
      </c>
      <c r="U31" s="26">
        <f>(IF(O31="OP",VLOOKUP($Q31,'OP Values'!$A$1:$Q$35,17),))*H31</f>
        <v>0</v>
      </c>
      <c r="V31" s="26">
        <f>(IF(AND((O31="Pb"),(I31="Child (0-7 years)")),(VLOOKUP(Q31,Pb!$A$1:$AV$103,7)),0))*H31</f>
        <v>0</v>
      </c>
      <c r="W31" s="26">
        <f>(IF(AND((O31="Pb"),(I31="Child (0-7 years)")),(VLOOKUP(Q31,Pb!$C$2:$AV$103,20)),0))*H31</f>
        <v>0</v>
      </c>
      <c r="X31" s="26">
        <f>(IF(AND((O31="Pb"),(I31="Adult (&gt; 15 years)")),(VLOOKUP(Q31,Pb!$A$2:$AV$103,46)),0))*H31</f>
        <v>0</v>
      </c>
      <c r="Y31" s="26">
        <f>(IF(AND((O31="Hg"),(I31="Child (0-7 years)")),(VLOOKUP(Q31,'Hg Values'!$A$1:$M$30,3)),0))*H31</f>
        <v>0</v>
      </c>
      <c r="Z31" s="26">
        <f>(IF(AND((O31="Hg"),(I31="Child (0-7 years)")),(VLOOKUP(Q31,'Hg Values'!$A$1:$M$30,13)),0))*H31</f>
        <v>0</v>
      </c>
      <c r="AA31" s="5">
        <f>(((IF(AND((O31="CA"),(I31="Adult (&gt; 15 years)")),((Q31*1)/70)*(VLOOKUP(J31,CA_ingestion!A$1:J$78,4,0)),0))))/11</f>
        <v>0</v>
      </c>
      <c r="AB31" s="5">
        <f t="shared" si="3"/>
        <v>0</v>
      </c>
      <c r="AC31" s="5">
        <f>((IF(AND((O31="CA"),(I31="Adult (&gt; 15 years)")),(AB31*(VLOOKUP(J31,CA_ingestion!A$1:J$78,10,0))),0)))</f>
        <v>0</v>
      </c>
      <c r="AD31" s="5">
        <f t="shared" si="4"/>
        <v>0</v>
      </c>
      <c r="AE31" s="5">
        <f t="shared" si="5"/>
        <v>0</v>
      </c>
    </row>
    <row r="32" spans="1:31" ht="15.5">
      <c r="A32" s="29" t="s">
        <v>283</v>
      </c>
      <c r="B32" s="29">
        <v>0</v>
      </c>
      <c r="C32" s="29"/>
      <c r="D32" s="29"/>
      <c r="E32" s="26" t="str">
        <f>Summary!C$23</f>
        <v>Afghanistan</v>
      </c>
      <c r="F32" s="29"/>
      <c r="G32" s="29" t="s">
        <v>369</v>
      </c>
      <c r="H32" s="33">
        <f>VLOOKUP(G32,'List Data'!$A$100:$B$104,2,0)</f>
        <v>0</v>
      </c>
      <c r="I32" s="29" t="s">
        <v>213</v>
      </c>
      <c r="J32" s="29" t="s">
        <v>213</v>
      </c>
      <c r="K32" s="29">
        <v>0</v>
      </c>
      <c r="L32" s="29"/>
      <c r="M32" s="37">
        <f>R32*Summary!$H$27</f>
        <v>0</v>
      </c>
      <c r="N32" s="37">
        <f>S32*Summary!$H$25</f>
        <v>0</v>
      </c>
      <c r="O32" s="26">
        <f>VLOOKUP(J32,'List Data'!A$2:C$94,3,0)</f>
        <v>0</v>
      </c>
      <c r="P32" s="26" t="str">
        <f>VLOOKUP(J32,'List Data'!A$2:B$94,2,0)</f>
        <v>--------</v>
      </c>
      <c r="Q32" s="26">
        <f t="shared" si="0"/>
        <v>0</v>
      </c>
      <c r="R32" s="26">
        <f t="shared" si="1"/>
        <v>0</v>
      </c>
      <c r="S32" s="26">
        <f t="shared" si="2"/>
        <v>0</v>
      </c>
      <c r="T32" s="26">
        <f>(IF(AND((O32="OP"),(I32="Child (0-7 years)")),VLOOKUP(K32,'OP Values'!$A$1:$Q$35,7),))*H32</f>
        <v>0</v>
      </c>
      <c r="U32" s="26">
        <f>(IF(O32="OP",VLOOKUP($Q32,'OP Values'!$A$1:$Q$35,17),))*H32</f>
        <v>0</v>
      </c>
      <c r="V32" s="26">
        <f>(IF(AND((O32="Pb"),(I32="Child (0-7 years)")),(VLOOKUP(Q32,Pb!$A$1:$AV$103,7)),0))*H32</f>
        <v>0</v>
      </c>
      <c r="W32" s="26">
        <f>(IF(AND((O32="Pb"),(I32="Child (0-7 years)")),(VLOOKUP(Q32,Pb!$C$2:$AV$103,20)),0))*H32</f>
        <v>0</v>
      </c>
      <c r="X32" s="26">
        <f>(IF(AND((O32="Pb"),(I32="Adult (&gt; 15 years)")),(VLOOKUP(Q32,Pb!$A$2:$AV$103,46)),0))*H32</f>
        <v>0</v>
      </c>
      <c r="Y32" s="26">
        <f>(IF(AND((O32="Hg"),(I32="Child (0-7 years)")),(VLOOKUP(Q32,'Hg Values'!$A$1:$M$30,3)),0))*H32</f>
        <v>0</v>
      </c>
      <c r="Z32" s="26">
        <f>(IF(AND((O32="Hg"),(I32="Child (0-7 years)")),(VLOOKUP(Q32,'Hg Values'!$A$1:$M$30,13)),0))*H32</f>
        <v>0</v>
      </c>
      <c r="AA32" s="5">
        <f>(((IF(AND((O32="CA"),(I32="Adult (&gt; 15 years)")),((Q32*1)/70)*(VLOOKUP(J32,CA_ingestion!A$1:J$78,4,0)),0))))/11</f>
        <v>0</v>
      </c>
      <c r="AB32" s="5">
        <f t="shared" si="3"/>
        <v>0</v>
      </c>
      <c r="AC32" s="5">
        <f>((IF(AND((O32="CA"),(I32="Adult (&gt; 15 years)")),(AB32*(VLOOKUP(J32,CA_ingestion!A$1:J$78,10,0))),0)))</f>
        <v>0</v>
      </c>
      <c r="AD32" s="5">
        <f t="shared" si="4"/>
        <v>0</v>
      </c>
      <c r="AE32" s="5">
        <f t="shared" si="5"/>
        <v>0</v>
      </c>
    </row>
    <row r="33" spans="1:31" ht="15.5">
      <c r="A33" s="29" t="s">
        <v>283</v>
      </c>
      <c r="B33" s="29">
        <v>0</v>
      </c>
      <c r="C33" s="29"/>
      <c r="D33" s="29"/>
      <c r="E33" s="26" t="str">
        <f>Summary!C$23</f>
        <v>Afghanistan</v>
      </c>
      <c r="F33" s="29"/>
      <c r="G33" s="29" t="s">
        <v>369</v>
      </c>
      <c r="H33" s="33">
        <f>VLOOKUP(G33,'List Data'!$A$100:$B$104,2,0)</f>
        <v>0</v>
      </c>
      <c r="I33" s="29" t="s">
        <v>213</v>
      </c>
      <c r="J33" s="29" t="s">
        <v>213</v>
      </c>
      <c r="K33" s="29">
        <v>0</v>
      </c>
      <c r="L33" s="29"/>
      <c r="M33" s="37">
        <f>R33*Summary!$H$27</f>
        <v>0</v>
      </c>
      <c r="N33" s="37">
        <f>S33*Summary!$H$25</f>
        <v>0</v>
      </c>
      <c r="O33" s="26">
        <f>VLOOKUP(J33,'List Data'!A$2:C$94,3,0)</f>
        <v>0</v>
      </c>
      <c r="P33" s="26" t="str">
        <f>VLOOKUP(J33,'List Data'!A$2:B$94,2,0)</f>
        <v>--------</v>
      </c>
      <c r="Q33" s="26">
        <f t="shared" si="0"/>
        <v>0</v>
      </c>
      <c r="R33" s="26">
        <f t="shared" si="1"/>
        <v>0</v>
      </c>
      <c r="S33" s="26">
        <f t="shared" si="2"/>
        <v>0</v>
      </c>
      <c r="T33" s="26">
        <f>(IF(AND((O33="OP"),(I33="Child (0-7 years)")),VLOOKUP(K33,'OP Values'!$A$1:$Q$35,7),))*H33</f>
        <v>0</v>
      </c>
      <c r="U33" s="26">
        <f>(IF(O33="OP",VLOOKUP($Q33,'OP Values'!$A$1:$Q$35,17),))*H33</f>
        <v>0</v>
      </c>
      <c r="V33" s="26">
        <f>(IF(AND((O33="Pb"),(I33="Child (0-7 years)")),(VLOOKUP(Q33,Pb!$A$1:$AV$103,7)),0))*H33</f>
        <v>0</v>
      </c>
      <c r="W33" s="26">
        <f>(IF(AND((O33="Pb"),(I33="Child (0-7 years)")),(VLOOKUP(Q33,Pb!$C$2:$AV$103,20)),0))*H33</f>
        <v>0</v>
      </c>
      <c r="X33" s="26">
        <f>(IF(AND((O33="Pb"),(I33="Adult (&gt; 15 years)")),(VLOOKUP(Q33,Pb!$A$2:$AV$103,46)),0))*H33</f>
        <v>0</v>
      </c>
      <c r="Y33" s="26">
        <f>(IF(AND((O33="Hg"),(I33="Child (0-7 years)")),(VLOOKUP(Q33,'Hg Values'!$A$1:$M$30,3)),0))*H33</f>
        <v>0</v>
      </c>
      <c r="Z33" s="26">
        <f>(IF(AND((O33="Hg"),(I33="Child (0-7 years)")),(VLOOKUP(Q33,'Hg Values'!$A$1:$M$30,13)),0))*H33</f>
        <v>0</v>
      </c>
      <c r="AA33" s="5">
        <f>(((IF(AND((O33="CA"),(I33="Adult (&gt; 15 years)")),((Q33*1)/70)*(VLOOKUP(J33,CA_ingestion!A$1:J$78,4,0)),0))))/11</f>
        <v>0</v>
      </c>
      <c r="AB33" s="5">
        <f t="shared" si="3"/>
        <v>0</v>
      </c>
      <c r="AC33" s="5">
        <f>((IF(AND((O33="CA"),(I33="Adult (&gt; 15 years)")),(AB33*(VLOOKUP(J33,CA_ingestion!A$1:J$78,10,0))),0)))</f>
        <v>0</v>
      </c>
      <c r="AD33" s="5">
        <f t="shared" si="4"/>
        <v>0</v>
      </c>
      <c r="AE33" s="5">
        <f t="shared" si="5"/>
        <v>0</v>
      </c>
    </row>
    <row r="34" spans="1:31" ht="15.5">
      <c r="A34" s="29" t="s">
        <v>283</v>
      </c>
      <c r="B34" s="29">
        <v>0</v>
      </c>
      <c r="C34" s="29"/>
      <c r="D34" s="29"/>
      <c r="E34" s="26" t="str">
        <f>Summary!C$23</f>
        <v>Afghanistan</v>
      </c>
      <c r="F34" s="29"/>
      <c r="G34" s="29" t="s">
        <v>369</v>
      </c>
      <c r="H34" s="33">
        <f>VLOOKUP(G34,'List Data'!$A$100:$B$104,2,0)</f>
        <v>0</v>
      </c>
      <c r="I34" s="29" t="s">
        <v>213</v>
      </c>
      <c r="J34" s="29" t="s">
        <v>213</v>
      </c>
      <c r="K34" s="29">
        <v>0</v>
      </c>
      <c r="L34" s="29"/>
      <c r="M34" s="37">
        <f>R34*Summary!$H$27</f>
        <v>0</v>
      </c>
      <c r="N34" s="37">
        <f>S34*Summary!$H$25</f>
        <v>0</v>
      </c>
      <c r="O34" s="26">
        <f>VLOOKUP(J34,'List Data'!A$2:C$94,3,0)</f>
        <v>0</v>
      </c>
      <c r="P34" s="26" t="str">
        <f>VLOOKUP(J34,'List Data'!A$2:B$94,2,0)</f>
        <v>--------</v>
      </c>
      <c r="Q34" s="26">
        <f t="shared" si="0"/>
        <v>0</v>
      </c>
      <c r="R34" s="26">
        <f t="shared" si="1"/>
        <v>0</v>
      </c>
      <c r="S34" s="26">
        <f t="shared" si="2"/>
        <v>0</v>
      </c>
      <c r="T34" s="26">
        <f>(IF(AND((O34="OP"),(I34="Child (0-7 years)")),VLOOKUP(K34,'OP Values'!$A$1:$Q$35,7),))*H34</f>
        <v>0</v>
      </c>
      <c r="U34" s="26">
        <f>(IF(O34="OP",VLOOKUP($Q34,'OP Values'!$A$1:$Q$35,17),))*H34</f>
        <v>0</v>
      </c>
      <c r="V34" s="26">
        <f>(IF(AND((O34="Pb"),(I34="Child (0-7 years)")),(VLOOKUP(Q34,Pb!$A$1:$AV$103,7)),0))*H34</f>
        <v>0</v>
      </c>
      <c r="W34" s="26">
        <f>(IF(AND((O34="Pb"),(I34="Child (0-7 years)")),(VLOOKUP(Q34,Pb!$C$2:$AV$103,20)),0))*H34</f>
        <v>0</v>
      </c>
      <c r="X34" s="26">
        <f>(IF(AND((O34="Pb"),(I34="Adult (&gt; 15 years)")),(VLOOKUP(Q34,Pb!$A$2:$AV$103,46)),0))*H34</f>
        <v>0</v>
      </c>
      <c r="Y34" s="26">
        <f>(IF(AND((O34="Hg"),(I34="Child (0-7 years)")),(VLOOKUP(Q34,'Hg Values'!$A$1:$M$30,3)),0))*H34</f>
        <v>0</v>
      </c>
      <c r="Z34" s="26">
        <f>(IF(AND((O34="Hg"),(I34="Child (0-7 years)")),(VLOOKUP(Q34,'Hg Values'!$A$1:$M$30,13)),0))*H34</f>
        <v>0</v>
      </c>
      <c r="AA34" s="5">
        <f>(((IF(AND((O34="CA"),(I34="Adult (&gt; 15 years)")),((Q34*1)/70)*(VLOOKUP(J34,CA_ingestion!A$1:J$78,4,0)),0))))/11</f>
        <v>0</v>
      </c>
      <c r="AB34" s="5">
        <f t="shared" si="3"/>
        <v>0</v>
      </c>
      <c r="AC34" s="5">
        <f>((IF(AND((O34="CA"),(I34="Adult (&gt; 15 years)")),(AB34*(VLOOKUP(J34,CA_ingestion!A$1:J$78,10,0))),0)))</f>
        <v>0</v>
      </c>
      <c r="AD34" s="5">
        <f t="shared" si="4"/>
        <v>0</v>
      </c>
      <c r="AE34" s="5">
        <f t="shared" si="5"/>
        <v>0</v>
      </c>
    </row>
    <row r="35" spans="1:31" ht="15.5">
      <c r="A35" s="29" t="s">
        <v>283</v>
      </c>
      <c r="B35" s="29">
        <v>0</v>
      </c>
      <c r="C35" s="29"/>
      <c r="D35" s="29"/>
      <c r="E35" s="26" t="str">
        <f>Summary!C$23</f>
        <v>Afghanistan</v>
      </c>
      <c r="F35" s="29"/>
      <c r="G35" s="29" t="s">
        <v>369</v>
      </c>
      <c r="H35" s="33">
        <f>VLOOKUP(G35,'List Data'!$A$100:$B$104,2,0)</f>
        <v>0</v>
      </c>
      <c r="I35" s="29" t="s">
        <v>213</v>
      </c>
      <c r="J35" s="29" t="s">
        <v>213</v>
      </c>
      <c r="K35" s="29">
        <v>0</v>
      </c>
      <c r="L35" s="29"/>
      <c r="M35" s="37">
        <f>R35*Summary!$H$27</f>
        <v>0</v>
      </c>
      <c r="N35" s="37">
        <f>S35*Summary!$H$25</f>
        <v>0</v>
      </c>
      <c r="O35" s="26">
        <f>VLOOKUP(J35,'List Data'!A$2:C$94,3,0)</f>
        <v>0</v>
      </c>
      <c r="P35" s="26" t="str">
        <f>VLOOKUP(J35,'List Data'!A$2:B$94,2,0)</f>
        <v>--------</v>
      </c>
      <c r="Q35" s="26">
        <f t="shared" si="0"/>
        <v>0</v>
      </c>
      <c r="R35" s="26">
        <f t="shared" si="1"/>
        <v>0</v>
      </c>
      <c r="S35" s="26">
        <f t="shared" si="2"/>
        <v>0</v>
      </c>
      <c r="T35" s="26">
        <f>(IF(AND((O35="OP"),(I35="Child (0-7 years)")),VLOOKUP(K35,'OP Values'!$A$1:$Q$35,7),))*H35</f>
        <v>0</v>
      </c>
      <c r="U35" s="26">
        <f>(IF(O35="OP",VLOOKUP($Q35,'OP Values'!$A$1:$Q$35,17),))*H35</f>
        <v>0</v>
      </c>
      <c r="V35" s="26">
        <f>(IF(AND((O35="Pb"),(I35="Child (0-7 years)")),(VLOOKUP(Q35,Pb!$A$1:$AV$103,7)),0))*H35</f>
        <v>0</v>
      </c>
      <c r="W35" s="26">
        <f>(IF(AND((O35="Pb"),(I35="Child (0-7 years)")),(VLOOKUP(Q35,Pb!$C$2:$AV$103,20)),0))*H35</f>
        <v>0</v>
      </c>
      <c r="X35" s="26">
        <f>(IF(AND((O35="Pb"),(I35="Adult (&gt; 15 years)")),(VLOOKUP(Q35,Pb!$A$2:$AV$103,46)),0))*H35</f>
        <v>0</v>
      </c>
      <c r="Y35" s="26">
        <f>(IF(AND((O35="Hg"),(I35="Child (0-7 years)")),(VLOOKUP(Q35,'Hg Values'!$A$1:$M$30,3)),0))*H35</f>
        <v>0</v>
      </c>
      <c r="Z35" s="26">
        <f>(IF(AND((O35="Hg"),(I35="Child (0-7 years)")),(VLOOKUP(Q35,'Hg Values'!$A$1:$M$30,13)),0))*H35</f>
        <v>0</v>
      </c>
      <c r="AA35" s="5">
        <f>(((IF(AND((O35="CA"),(I35="Adult (&gt; 15 years)")),((Q35*1)/70)*(VLOOKUP(J35,CA_ingestion!A$1:J$78,4,0)),0))))/11</f>
        <v>0</v>
      </c>
      <c r="AB35" s="5">
        <f t="shared" si="3"/>
        <v>0</v>
      </c>
      <c r="AC35" s="5">
        <f>((IF(AND((O35="CA"),(I35="Adult (&gt; 15 years)")),(AB35*(VLOOKUP(J35,CA_ingestion!A$1:J$78,10,0))),0)))</f>
        <v>0</v>
      </c>
      <c r="AD35" s="5">
        <f t="shared" si="4"/>
        <v>0</v>
      </c>
      <c r="AE35" s="5">
        <f t="shared" si="5"/>
        <v>0</v>
      </c>
    </row>
    <row r="36" spans="1:31" ht="15.5">
      <c r="A36" s="29" t="s">
        <v>283</v>
      </c>
      <c r="B36" s="29">
        <v>0</v>
      </c>
      <c r="C36" s="29"/>
      <c r="D36" s="29"/>
      <c r="E36" s="26" t="str">
        <f>Summary!C$23</f>
        <v>Afghanistan</v>
      </c>
      <c r="F36" s="29"/>
      <c r="G36" s="29" t="s">
        <v>369</v>
      </c>
      <c r="H36" s="33">
        <f>VLOOKUP(G36,'List Data'!$A$100:$B$104,2,0)</f>
        <v>0</v>
      </c>
      <c r="I36" s="29" t="s">
        <v>213</v>
      </c>
      <c r="J36" s="29" t="s">
        <v>213</v>
      </c>
      <c r="K36" s="29">
        <v>0</v>
      </c>
      <c r="L36" s="29"/>
      <c r="M36" s="37">
        <f>R36*Summary!$H$27</f>
        <v>0</v>
      </c>
      <c r="N36" s="37">
        <f>S36*Summary!$H$25</f>
        <v>0</v>
      </c>
      <c r="O36" s="26">
        <f>VLOOKUP(J36,'List Data'!A$2:C$94,3,0)</f>
        <v>0</v>
      </c>
      <c r="P36" s="26" t="str">
        <f>VLOOKUP(J36,'List Data'!A$2:B$94,2,0)</f>
        <v>--------</v>
      </c>
      <c r="Q36" s="26">
        <f t="shared" si="0"/>
        <v>0</v>
      </c>
      <c r="R36" s="26">
        <f t="shared" si="1"/>
        <v>0</v>
      </c>
      <c r="S36" s="26">
        <f t="shared" si="2"/>
        <v>0</v>
      </c>
      <c r="T36" s="26">
        <f>(IF(AND((O36="OP"),(I36="Child (0-7 years)")),VLOOKUP(K36,'OP Values'!$A$1:$Q$35,7),))*H36</f>
        <v>0</v>
      </c>
      <c r="U36" s="26">
        <f>(IF(O36="OP",VLOOKUP($Q36,'OP Values'!$A$1:$Q$35,17),))*H36</f>
        <v>0</v>
      </c>
      <c r="V36" s="26">
        <f>(IF(AND((O36="Pb"),(I36="Child (0-7 years)")),(VLOOKUP(Q36,Pb!$A$1:$AV$103,7)),0))*H36</f>
        <v>0</v>
      </c>
      <c r="W36" s="26">
        <f>(IF(AND((O36="Pb"),(I36="Child (0-7 years)")),(VLOOKUP(Q36,Pb!$C$2:$AV$103,20)),0))*H36</f>
        <v>0</v>
      </c>
      <c r="X36" s="26">
        <f>(IF(AND((O36="Pb"),(I36="Adult (&gt; 15 years)")),(VLOOKUP(Q36,Pb!$A$2:$AV$103,46)),0))*H36</f>
        <v>0</v>
      </c>
      <c r="Y36" s="26">
        <f>(IF(AND((O36="Hg"),(I36="Child (0-7 years)")),(VLOOKUP(Q36,'Hg Values'!$A$1:$M$30,3)),0))*H36</f>
        <v>0</v>
      </c>
      <c r="Z36" s="26">
        <f>(IF(AND((O36="Hg"),(I36="Child (0-7 years)")),(VLOOKUP(Q36,'Hg Values'!$A$1:$M$30,13)),0))*H36</f>
        <v>0</v>
      </c>
      <c r="AA36" s="5">
        <f>(((IF(AND((O36="CA"),(I36="Adult (&gt; 15 years)")),((Q36*1)/70)*(VLOOKUP(J36,CA_ingestion!A$1:J$78,4,0)),0))))/11</f>
        <v>0</v>
      </c>
      <c r="AB36" s="5">
        <f t="shared" si="3"/>
        <v>0</v>
      </c>
      <c r="AC36" s="5">
        <f>((IF(AND((O36="CA"),(I36="Adult (&gt; 15 years)")),(AB36*(VLOOKUP(J36,CA_ingestion!A$1:J$78,10,0))),0)))</f>
        <v>0</v>
      </c>
      <c r="AD36" s="5">
        <f t="shared" si="4"/>
        <v>0</v>
      </c>
      <c r="AE36" s="5">
        <f t="shared" si="5"/>
        <v>0</v>
      </c>
    </row>
    <row r="37" spans="1:31" ht="15.5">
      <c r="A37" s="29" t="s">
        <v>283</v>
      </c>
      <c r="B37" s="29">
        <v>0</v>
      </c>
      <c r="C37" s="29"/>
      <c r="D37" s="29"/>
      <c r="E37" s="26" t="str">
        <f>Summary!C$23</f>
        <v>Afghanistan</v>
      </c>
      <c r="F37" s="29"/>
      <c r="G37" s="29" t="s">
        <v>369</v>
      </c>
      <c r="H37" s="33">
        <f>VLOOKUP(G37,'List Data'!$A$100:$B$104,2,0)</f>
        <v>0</v>
      </c>
      <c r="I37" s="29" t="s">
        <v>213</v>
      </c>
      <c r="J37" s="29" t="s">
        <v>213</v>
      </c>
      <c r="K37" s="29">
        <v>0</v>
      </c>
      <c r="L37" s="29"/>
      <c r="M37" s="37">
        <f>R37*Summary!$H$27</f>
        <v>0</v>
      </c>
      <c r="N37" s="37">
        <f>S37*Summary!$H$25</f>
        <v>0</v>
      </c>
      <c r="O37" s="26">
        <f>VLOOKUP(J37,'List Data'!A$2:C$94,3,0)</f>
        <v>0</v>
      </c>
      <c r="P37" s="26" t="str">
        <f>VLOOKUP(J37,'List Data'!A$2:B$94,2,0)</f>
        <v>--------</v>
      </c>
      <c r="Q37" s="26">
        <f t="shared" si="0"/>
        <v>0</v>
      </c>
      <c r="R37" s="26">
        <f t="shared" si="1"/>
        <v>0</v>
      </c>
      <c r="S37" s="26">
        <f t="shared" si="2"/>
        <v>0</v>
      </c>
      <c r="T37" s="26">
        <f>(IF(AND((O37="OP"),(I37="Child (0-7 years)")),VLOOKUP(K37,'OP Values'!$A$1:$Q$35,7),))*H37</f>
        <v>0</v>
      </c>
      <c r="U37" s="26">
        <f>(IF(O37="OP",VLOOKUP($Q37,'OP Values'!$A$1:$Q$35,17),))*H37</f>
        <v>0</v>
      </c>
      <c r="V37" s="26">
        <f>(IF(AND((O37="Pb"),(I37="Child (0-7 years)")),(VLOOKUP(Q37,Pb!$A$1:$AV$103,7)),0))*H37</f>
        <v>0</v>
      </c>
      <c r="W37" s="26">
        <f>(IF(AND((O37="Pb"),(I37="Child (0-7 years)")),(VLOOKUP(Q37,Pb!$C$2:$AV$103,20)),0))*H37</f>
        <v>0</v>
      </c>
      <c r="X37" s="26">
        <f>(IF(AND((O37="Pb"),(I37="Adult (&gt; 15 years)")),(VLOOKUP(Q37,Pb!$A$2:$AV$103,46)),0))*H37</f>
        <v>0</v>
      </c>
      <c r="Y37" s="26">
        <f>(IF(AND((O37="Hg"),(I37="Child (0-7 years)")),(VLOOKUP(Q37,'Hg Values'!$A$1:$M$30,3)),0))*H37</f>
        <v>0</v>
      </c>
      <c r="Z37" s="26">
        <f>(IF(AND((O37="Hg"),(I37="Child (0-7 years)")),(VLOOKUP(Q37,'Hg Values'!$A$1:$M$30,13)),0))*H37</f>
        <v>0</v>
      </c>
      <c r="AA37" s="5">
        <f>(((IF(AND((O37="CA"),(I37="Adult (&gt; 15 years)")),((Q37*1)/70)*(VLOOKUP(J37,CA_ingestion!A$1:J$78,4,0)),0))))/11</f>
        <v>0</v>
      </c>
      <c r="AB37" s="5">
        <f t="shared" si="3"/>
        <v>0</v>
      </c>
      <c r="AC37" s="5">
        <f>((IF(AND((O37="CA"),(I37="Adult (&gt; 15 years)")),(AB37*(VLOOKUP(J37,CA_ingestion!A$1:J$78,10,0))),0)))</f>
        <v>0</v>
      </c>
      <c r="AD37" s="5">
        <f t="shared" si="4"/>
        <v>0</v>
      </c>
      <c r="AE37" s="5">
        <f t="shared" si="5"/>
        <v>0</v>
      </c>
    </row>
    <row r="38" spans="1:31" ht="15.5">
      <c r="A38" s="29" t="s">
        <v>283</v>
      </c>
      <c r="B38" s="29">
        <v>0</v>
      </c>
      <c r="C38" s="29"/>
      <c r="D38" s="29"/>
      <c r="E38" s="26" t="str">
        <f>Summary!C$23</f>
        <v>Afghanistan</v>
      </c>
      <c r="F38" s="29"/>
      <c r="G38" s="29" t="s">
        <v>369</v>
      </c>
      <c r="H38" s="33">
        <f>VLOOKUP(G38,'List Data'!$A$100:$B$104,2,0)</f>
        <v>0</v>
      </c>
      <c r="I38" s="29" t="s">
        <v>213</v>
      </c>
      <c r="J38" s="29" t="s">
        <v>213</v>
      </c>
      <c r="K38" s="29">
        <v>0</v>
      </c>
      <c r="L38" s="29"/>
      <c r="M38" s="37">
        <f>R38*Summary!$H$27</f>
        <v>0</v>
      </c>
      <c r="N38" s="37">
        <f>S38*Summary!$H$25</f>
        <v>0</v>
      </c>
      <c r="O38" s="26">
        <f>VLOOKUP(J38,'List Data'!A$2:C$94,3,0)</f>
        <v>0</v>
      </c>
      <c r="P38" s="26" t="str">
        <f>VLOOKUP(J38,'List Data'!A$2:B$94,2,0)</f>
        <v>--------</v>
      </c>
      <c r="Q38" s="26">
        <f t="shared" si="0"/>
        <v>0</v>
      </c>
      <c r="R38" s="26">
        <f t="shared" si="1"/>
        <v>0</v>
      </c>
      <c r="S38" s="26">
        <f t="shared" si="2"/>
        <v>0</v>
      </c>
      <c r="T38" s="26">
        <f>(IF(AND((O38="OP"),(I38="Child (0-7 years)")),VLOOKUP(K38,'OP Values'!$A$1:$Q$35,7),))*H38</f>
        <v>0</v>
      </c>
      <c r="U38" s="26">
        <f>(IF(O38="OP",VLOOKUP($Q38,'OP Values'!$A$1:$Q$35,17),))*H38</f>
        <v>0</v>
      </c>
      <c r="V38" s="26">
        <f>(IF(AND((O38="Pb"),(I38="Child (0-7 years)")),(VLOOKUP(Q38,Pb!$A$1:$AV$103,7)),0))*H38</f>
        <v>0</v>
      </c>
      <c r="W38" s="26">
        <f>(IF(AND((O38="Pb"),(I38="Child (0-7 years)")),(VLOOKUP(Q38,Pb!$C$2:$AV$103,20)),0))*H38</f>
        <v>0</v>
      </c>
      <c r="X38" s="26">
        <f>(IF(AND((O38="Pb"),(I38="Adult (&gt; 15 years)")),(VLOOKUP(Q38,Pb!$A$2:$AV$103,46)),0))*H38</f>
        <v>0</v>
      </c>
      <c r="Y38" s="26">
        <f>(IF(AND((O38="Hg"),(I38="Child (0-7 years)")),(VLOOKUP(Q38,'Hg Values'!$A$1:$M$30,3)),0))*H38</f>
        <v>0</v>
      </c>
      <c r="Z38" s="26">
        <f>(IF(AND((O38="Hg"),(I38="Child (0-7 years)")),(VLOOKUP(Q38,'Hg Values'!$A$1:$M$30,13)),0))*H38</f>
        <v>0</v>
      </c>
      <c r="AA38" s="5">
        <f>(((IF(AND((O38="CA"),(I38="Adult (&gt; 15 years)")),((Q38*1)/70)*(VLOOKUP(J38,CA_ingestion!A$1:J$78,4,0)),0))))/11</f>
        <v>0</v>
      </c>
      <c r="AB38" s="5">
        <f t="shared" si="3"/>
        <v>0</v>
      </c>
      <c r="AC38" s="5">
        <f>((IF(AND((O38="CA"),(I38="Adult (&gt; 15 years)")),(AB38*(VLOOKUP(J38,CA_ingestion!A$1:J$78,10,0))),0)))</f>
        <v>0</v>
      </c>
      <c r="AD38" s="5">
        <f t="shared" si="4"/>
        <v>0</v>
      </c>
      <c r="AE38" s="5">
        <f t="shared" si="5"/>
        <v>0</v>
      </c>
    </row>
    <row r="39" spans="1:31" ht="15.5">
      <c r="A39" s="29" t="s">
        <v>283</v>
      </c>
      <c r="B39" s="29">
        <v>0</v>
      </c>
      <c r="C39" s="29"/>
      <c r="D39" s="29"/>
      <c r="E39" s="26" t="str">
        <f>Summary!C$23</f>
        <v>Afghanistan</v>
      </c>
      <c r="F39" s="29"/>
      <c r="G39" s="29" t="s">
        <v>369</v>
      </c>
      <c r="H39" s="33">
        <f>VLOOKUP(G39,'List Data'!$A$100:$B$104,2,0)</f>
        <v>0</v>
      </c>
      <c r="I39" s="29" t="s">
        <v>213</v>
      </c>
      <c r="J39" s="29" t="s">
        <v>213</v>
      </c>
      <c r="K39" s="29">
        <v>0</v>
      </c>
      <c r="L39" s="29"/>
      <c r="M39" s="37">
        <f>R39*Summary!$H$27</f>
        <v>0</v>
      </c>
      <c r="N39" s="37">
        <f>S39*Summary!$H$25</f>
        <v>0</v>
      </c>
      <c r="O39" s="26">
        <f>VLOOKUP(J39,'List Data'!A$2:C$94,3,0)</f>
        <v>0</v>
      </c>
      <c r="P39" s="26" t="str">
        <f>VLOOKUP(J39,'List Data'!A$2:B$94,2,0)</f>
        <v>--------</v>
      </c>
      <c r="Q39" s="26">
        <f t="shared" si="0"/>
        <v>0</v>
      </c>
      <c r="R39" s="26">
        <f t="shared" si="1"/>
        <v>0</v>
      </c>
      <c r="S39" s="26">
        <f t="shared" si="2"/>
        <v>0</v>
      </c>
      <c r="T39" s="26">
        <f>(IF(AND((O39="OP"),(I39="Child (0-7 years)")),VLOOKUP(K39,'OP Values'!$A$1:$Q$35,7),))*H39</f>
        <v>0</v>
      </c>
      <c r="U39" s="26">
        <f>(IF(O39="OP",VLOOKUP($Q39,'OP Values'!$A$1:$Q$35,17),))*H39</f>
        <v>0</v>
      </c>
      <c r="V39" s="26">
        <f>(IF(AND((O39="Pb"),(I39="Child (0-7 years)")),(VLOOKUP(Q39,Pb!$A$1:$AV$103,7)),0))*H39</f>
        <v>0</v>
      </c>
      <c r="W39" s="26">
        <f>(IF(AND((O39="Pb"),(I39="Child (0-7 years)")),(VLOOKUP(Q39,Pb!$C$2:$AV$103,20)),0))*H39</f>
        <v>0</v>
      </c>
      <c r="X39" s="26">
        <f>(IF(AND((O39="Pb"),(I39="Adult (&gt; 15 years)")),(VLOOKUP(Q39,Pb!$A$2:$AV$103,46)),0))*H39</f>
        <v>0</v>
      </c>
      <c r="Y39" s="26">
        <f>(IF(AND((O39="Hg"),(I39="Child (0-7 years)")),(VLOOKUP(Q39,'Hg Values'!$A$1:$M$30,3)),0))*H39</f>
        <v>0</v>
      </c>
      <c r="Z39" s="26">
        <f>(IF(AND((O39="Hg"),(I39="Child (0-7 years)")),(VLOOKUP(Q39,'Hg Values'!$A$1:$M$30,13)),0))*H39</f>
        <v>0</v>
      </c>
      <c r="AA39" s="5">
        <f>(((IF(AND((O39="CA"),(I39="Adult (&gt; 15 years)")),((Q39*1)/70)*(VLOOKUP(J39,CA_ingestion!A$1:J$78,4,0)),0))))/11</f>
        <v>0</v>
      </c>
      <c r="AB39" s="5">
        <f t="shared" si="3"/>
        <v>0</v>
      </c>
      <c r="AC39" s="5">
        <f>((IF(AND((O39="CA"),(I39="Adult (&gt; 15 years)")),(AB39*(VLOOKUP(J39,CA_ingestion!A$1:J$78,10,0))),0)))</f>
        <v>0</v>
      </c>
      <c r="AD39" s="5">
        <f t="shared" si="4"/>
        <v>0</v>
      </c>
      <c r="AE39" s="5">
        <f t="shared" si="5"/>
        <v>0</v>
      </c>
    </row>
    <row r="40" spans="1:31" ht="15.5">
      <c r="A40" s="29" t="s">
        <v>283</v>
      </c>
      <c r="B40" s="29">
        <v>0</v>
      </c>
      <c r="C40" s="29"/>
      <c r="D40" s="29"/>
      <c r="E40" s="26" t="str">
        <f>Summary!C$23</f>
        <v>Afghanistan</v>
      </c>
      <c r="F40" s="29"/>
      <c r="G40" s="29" t="s">
        <v>369</v>
      </c>
      <c r="H40" s="33">
        <f>VLOOKUP(G40,'List Data'!$A$100:$B$104,2,0)</f>
        <v>0</v>
      </c>
      <c r="I40" s="29" t="s">
        <v>213</v>
      </c>
      <c r="J40" s="29" t="s">
        <v>213</v>
      </c>
      <c r="K40" s="29">
        <v>0</v>
      </c>
      <c r="L40" s="29"/>
      <c r="M40" s="37">
        <f>R40*Summary!$H$27</f>
        <v>0</v>
      </c>
      <c r="N40" s="37">
        <f>S40*Summary!$H$25</f>
        <v>0</v>
      </c>
      <c r="O40" s="26">
        <f>VLOOKUP(J40,'List Data'!A$2:C$94,3,0)</f>
        <v>0</v>
      </c>
      <c r="P40" s="26" t="str">
        <f>VLOOKUP(J40,'List Data'!A$2:B$94,2,0)</f>
        <v>--------</v>
      </c>
      <c r="Q40" s="26">
        <f t="shared" si="0"/>
        <v>0</v>
      </c>
      <c r="R40" s="26">
        <f t="shared" si="1"/>
        <v>0</v>
      </c>
      <c r="S40" s="26">
        <f t="shared" si="2"/>
        <v>0</v>
      </c>
      <c r="T40" s="26">
        <f>(IF(AND((O40="OP"),(I40="Child (0-7 years)")),VLOOKUP(K40,'OP Values'!$A$1:$Q$35,7),))*H40</f>
        <v>0</v>
      </c>
      <c r="U40" s="26">
        <f>(IF(O40="OP",VLOOKUP($Q40,'OP Values'!$A$1:$Q$35,17),))*H40</f>
        <v>0</v>
      </c>
      <c r="V40" s="26">
        <f>(IF(AND((O40="Pb"),(I40="Child (0-7 years)")),(VLOOKUP(Q40,Pb!$A$1:$AV$103,7)),0))*H40</f>
        <v>0</v>
      </c>
      <c r="W40" s="26">
        <f>(IF(AND((O40="Pb"),(I40="Child (0-7 years)")),(VLOOKUP(Q40,Pb!$C$2:$AV$103,20)),0))*H40</f>
        <v>0</v>
      </c>
      <c r="X40" s="26">
        <f>(IF(AND((O40="Pb"),(I40="Adult (&gt; 15 years)")),(VLOOKUP(Q40,Pb!$A$2:$AV$103,46)),0))*H40</f>
        <v>0</v>
      </c>
      <c r="Y40" s="26">
        <f>(IF(AND((O40="Hg"),(I40="Child (0-7 years)")),(VLOOKUP(Q40,'Hg Values'!$A$1:$M$30,3)),0))*H40</f>
        <v>0</v>
      </c>
      <c r="Z40" s="26">
        <f>(IF(AND((O40="Hg"),(I40="Child (0-7 years)")),(VLOOKUP(Q40,'Hg Values'!$A$1:$M$30,13)),0))*H40</f>
        <v>0</v>
      </c>
      <c r="AA40" s="5">
        <f>(((IF(AND((O40="CA"),(I40="Adult (&gt; 15 years)")),((Q40*1)/70)*(VLOOKUP(J40,CA_ingestion!A$1:J$78,4,0)),0))))/11</f>
        <v>0</v>
      </c>
      <c r="AB40" s="5">
        <f t="shared" si="3"/>
        <v>0</v>
      </c>
      <c r="AC40" s="5">
        <f>((IF(AND((O40="CA"),(I40="Adult (&gt; 15 years)")),(AB40*(VLOOKUP(J40,CA_ingestion!A$1:J$78,10,0))),0)))</f>
        <v>0</v>
      </c>
      <c r="AD40" s="5">
        <f t="shared" si="4"/>
        <v>0</v>
      </c>
      <c r="AE40" s="5">
        <f t="shared" si="5"/>
        <v>0</v>
      </c>
    </row>
    <row r="41" spans="1:31" ht="15.5">
      <c r="A41" s="29" t="s">
        <v>283</v>
      </c>
      <c r="B41" s="29">
        <v>0</v>
      </c>
      <c r="C41" s="29"/>
      <c r="D41" s="29"/>
      <c r="E41" s="26" t="str">
        <f>Summary!C$23</f>
        <v>Afghanistan</v>
      </c>
      <c r="F41" s="29"/>
      <c r="G41" s="29" t="s">
        <v>369</v>
      </c>
      <c r="H41" s="33">
        <f>VLOOKUP(G41,'List Data'!$A$100:$B$104,2,0)</f>
        <v>0</v>
      </c>
      <c r="I41" s="29" t="s">
        <v>213</v>
      </c>
      <c r="J41" s="29" t="s">
        <v>213</v>
      </c>
      <c r="K41" s="29">
        <v>0</v>
      </c>
      <c r="L41" s="29"/>
      <c r="M41" s="37">
        <f>R41*Summary!$H$27</f>
        <v>0</v>
      </c>
      <c r="N41" s="37">
        <f>S41*Summary!$H$25</f>
        <v>0</v>
      </c>
      <c r="O41" s="26">
        <f>VLOOKUP(J41,'List Data'!A$2:C$94,3,0)</f>
        <v>0</v>
      </c>
      <c r="P41" s="26" t="str">
        <f>VLOOKUP(J41,'List Data'!A$2:B$94,2,0)</f>
        <v>--------</v>
      </c>
      <c r="Q41" s="26">
        <f t="shared" si="0"/>
        <v>0</v>
      </c>
      <c r="R41" s="26">
        <f t="shared" si="1"/>
        <v>0</v>
      </c>
      <c r="S41" s="26">
        <f t="shared" si="2"/>
        <v>0</v>
      </c>
      <c r="T41" s="26">
        <f>(IF(AND((O41="OP"),(I41="Child (0-7 years)")),VLOOKUP(K41,'OP Values'!$A$1:$Q$35,7),))*H41</f>
        <v>0</v>
      </c>
      <c r="U41" s="26">
        <f>(IF(O41="OP",VLOOKUP($Q41,'OP Values'!$A$1:$Q$35,17),))*H41</f>
        <v>0</v>
      </c>
      <c r="V41" s="26">
        <f>(IF(AND((O41="Pb"),(I41="Child (0-7 years)")),(VLOOKUP(Q41,Pb!$A$1:$AV$103,7)),0))*H41</f>
        <v>0</v>
      </c>
      <c r="W41" s="26">
        <f>(IF(AND((O41="Pb"),(I41="Child (0-7 years)")),(VLOOKUP(Q41,Pb!$C$2:$AV$103,20)),0))*H41</f>
        <v>0</v>
      </c>
      <c r="X41" s="26">
        <f>(IF(AND((O41="Pb"),(I41="Adult (&gt; 15 years)")),(VLOOKUP(Q41,Pb!$A$2:$AV$103,46)),0))*H41</f>
        <v>0</v>
      </c>
      <c r="Y41" s="26">
        <f>(IF(AND((O41="Hg"),(I41="Child (0-7 years)")),(VLOOKUP(Q41,'Hg Values'!$A$1:$M$30,3)),0))*H41</f>
        <v>0</v>
      </c>
      <c r="Z41" s="26">
        <f>(IF(AND((O41="Hg"),(I41="Child (0-7 years)")),(VLOOKUP(Q41,'Hg Values'!$A$1:$M$30,13)),0))*H41</f>
        <v>0</v>
      </c>
      <c r="AA41" s="5">
        <f>(((IF(AND((O41="CA"),(I41="Adult (&gt; 15 years)")),((Q41*1)/70)*(VLOOKUP(J41,CA_ingestion!A$1:J$78,4,0)),0))))/11</f>
        <v>0</v>
      </c>
      <c r="AB41" s="5">
        <f t="shared" si="3"/>
        <v>0</v>
      </c>
      <c r="AC41" s="5">
        <f>((IF(AND((O41="CA"),(I41="Adult (&gt; 15 years)")),(AB41*(VLOOKUP(J41,CA_ingestion!A$1:J$78,10,0))),0)))</f>
        <v>0</v>
      </c>
      <c r="AD41" s="5">
        <f t="shared" si="4"/>
        <v>0</v>
      </c>
      <c r="AE41" s="5">
        <f t="shared" si="5"/>
        <v>0</v>
      </c>
    </row>
    <row r="42" spans="1:31" ht="15.5">
      <c r="A42" s="29" t="s">
        <v>283</v>
      </c>
      <c r="B42" s="29">
        <v>0</v>
      </c>
      <c r="C42" s="29"/>
      <c r="D42" s="29"/>
      <c r="E42" s="26" t="str">
        <f>Summary!C$23</f>
        <v>Afghanistan</v>
      </c>
      <c r="F42" s="29"/>
      <c r="G42" s="29" t="s">
        <v>369</v>
      </c>
      <c r="H42" s="33">
        <f>VLOOKUP(G42,'List Data'!$A$100:$B$104,2,0)</f>
        <v>0</v>
      </c>
      <c r="I42" s="29" t="s">
        <v>213</v>
      </c>
      <c r="J42" s="29" t="s">
        <v>213</v>
      </c>
      <c r="K42" s="29">
        <v>0</v>
      </c>
      <c r="L42" s="29"/>
      <c r="M42" s="37">
        <f>R42*Summary!$H$27</f>
        <v>0</v>
      </c>
      <c r="N42" s="37">
        <f>S42*Summary!$H$25</f>
        <v>0</v>
      </c>
      <c r="O42" s="26">
        <f>VLOOKUP(J42,'List Data'!A$2:C$94,3,0)</f>
        <v>0</v>
      </c>
      <c r="P42" s="26" t="str">
        <f>VLOOKUP(J42,'List Data'!A$2:B$94,2,0)</f>
        <v>--------</v>
      </c>
      <c r="Q42" s="26">
        <f t="shared" si="0"/>
        <v>0</v>
      </c>
      <c r="R42" s="26">
        <f t="shared" si="1"/>
        <v>0</v>
      </c>
      <c r="S42" s="26">
        <f t="shared" si="2"/>
        <v>0</v>
      </c>
      <c r="T42" s="26">
        <f>(IF(AND((O42="OP"),(I42="Child (0-7 years)")),VLOOKUP(K42,'OP Values'!$A$1:$Q$35,7),))*H42</f>
        <v>0</v>
      </c>
      <c r="U42" s="26">
        <f>(IF(O42="OP",VLOOKUP($Q42,'OP Values'!$A$1:$Q$35,17),))*H42</f>
        <v>0</v>
      </c>
      <c r="V42" s="26">
        <f>(IF(AND((O42="Pb"),(I42="Child (0-7 years)")),(VLOOKUP(Q42,Pb!$A$1:$AV$103,7)),0))*H42</f>
        <v>0</v>
      </c>
      <c r="W42" s="26">
        <f>(IF(AND((O42="Pb"),(I42="Child (0-7 years)")),(VLOOKUP(Q42,Pb!$C$2:$AV$103,20)),0))*H42</f>
        <v>0</v>
      </c>
      <c r="X42" s="26">
        <f>(IF(AND((O42="Pb"),(I42="Adult (&gt; 15 years)")),(VLOOKUP(Q42,Pb!$A$2:$AV$103,46)),0))*H42</f>
        <v>0</v>
      </c>
      <c r="Y42" s="26">
        <f>(IF(AND((O42="Hg"),(I42="Child (0-7 years)")),(VLOOKUP(Q42,'Hg Values'!$A$1:$M$30,3)),0))*H42</f>
        <v>0</v>
      </c>
      <c r="Z42" s="26">
        <f>(IF(AND((O42="Hg"),(I42="Child (0-7 years)")),(VLOOKUP(Q42,'Hg Values'!$A$1:$M$30,13)),0))*H42</f>
        <v>0</v>
      </c>
      <c r="AA42" s="5">
        <f>(((IF(AND((O42="CA"),(I42="Adult (&gt; 15 years)")),((Q42*1)/70)*(VLOOKUP(J42,CA_ingestion!A$1:J$78,4,0)),0))))/11</f>
        <v>0</v>
      </c>
      <c r="AB42" s="5">
        <f t="shared" si="3"/>
        <v>0</v>
      </c>
      <c r="AC42" s="5">
        <f>((IF(AND((O42="CA"),(I42="Adult (&gt; 15 years)")),(AB42*(VLOOKUP(J42,CA_ingestion!A$1:J$78,10,0))),0)))</f>
        <v>0</v>
      </c>
      <c r="AD42" s="5">
        <f t="shared" si="4"/>
        <v>0</v>
      </c>
      <c r="AE42" s="5">
        <f t="shared" si="5"/>
        <v>0</v>
      </c>
    </row>
    <row r="43" spans="1:31" ht="15.5">
      <c r="A43" s="29" t="s">
        <v>283</v>
      </c>
      <c r="B43" s="29">
        <v>0</v>
      </c>
      <c r="C43" s="29"/>
      <c r="D43" s="29"/>
      <c r="E43" s="26" t="str">
        <f>Summary!C$23</f>
        <v>Afghanistan</v>
      </c>
      <c r="F43" s="29"/>
      <c r="G43" s="29" t="s">
        <v>369</v>
      </c>
      <c r="H43" s="33">
        <f>VLOOKUP(G43,'List Data'!$A$100:$B$104,2,0)</f>
        <v>0</v>
      </c>
      <c r="I43" s="29" t="s">
        <v>213</v>
      </c>
      <c r="J43" s="29" t="s">
        <v>213</v>
      </c>
      <c r="K43" s="29">
        <v>0</v>
      </c>
      <c r="L43" s="29"/>
      <c r="M43" s="37">
        <f>R43*Summary!$H$27</f>
        <v>0</v>
      </c>
      <c r="N43" s="37">
        <f>S43*Summary!$H$25</f>
        <v>0</v>
      </c>
      <c r="O43" s="26">
        <f>VLOOKUP(J43,'List Data'!A$2:C$94,3,0)</f>
        <v>0</v>
      </c>
      <c r="P43" s="26" t="str">
        <f>VLOOKUP(J43,'List Data'!A$2:B$94,2,0)</f>
        <v>--------</v>
      </c>
      <c r="Q43" s="26">
        <f t="shared" si="0"/>
        <v>0</v>
      </c>
      <c r="R43" s="26">
        <f t="shared" si="1"/>
        <v>0</v>
      </c>
      <c r="S43" s="26">
        <f t="shared" si="2"/>
        <v>0</v>
      </c>
      <c r="T43" s="26">
        <f>(IF(AND((O43="OP"),(I43="Child (0-7 years)")),VLOOKUP(K43,'OP Values'!$A$1:$Q$35,7),))*H43</f>
        <v>0</v>
      </c>
      <c r="U43" s="26">
        <f>(IF(O43="OP",VLOOKUP($Q43,'OP Values'!$A$1:$Q$35,17),))*H43</f>
        <v>0</v>
      </c>
      <c r="V43" s="26">
        <f>(IF(AND((O43="Pb"),(I43="Child (0-7 years)")),(VLOOKUP(Q43,Pb!$A$1:$AV$103,7)),0))*H43</f>
        <v>0</v>
      </c>
      <c r="W43" s="26">
        <f>(IF(AND((O43="Pb"),(I43="Child (0-7 years)")),(VLOOKUP(Q43,Pb!$C$2:$AV$103,20)),0))*H43</f>
        <v>0</v>
      </c>
      <c r="X43" s="26">
        <f>(IF(AND((O43="Pb"),(I43="Adult (&gt; 15 years)")),(VLOOKUP(Q43,Pb!$A$2:$AV$103,46)),0))*H43</f>
        <v>0</v>
      </c>
      <c r="Y43" s="26">
        <f>(IF(AND((O43="Hg"),(I43="Child (0-7 years)")),(VLOOKUP(Q43,'Hg Values'!$A$1:$M$30,3)),0))*H43</f>
        <v>0</v>
      </c>
      <c r="Z43" s="26">
        <f>(IF(AND((O43="Hg"),(I43="Child (0-7 years)")),(VLOOKUP(Q43,'Hg Values'!$A$1:$M$30,13)),0))*H43</f>
        <v>0</v>
      </c>
      <c r="AA43" s="5">
        <f>(((IF(AND((O43="CA"),(I43="Adult (&gt; 15 years)")),((Q43*1)/70)*(VLOOKUP(J43,CA_ingestion!A$1:J$78,4,0)),0))))/11</f>
        <v>0</v>
      </c>
      <c r="AB43" s="5">
        <f t="shared" si="3"/>
        <v>0</v>
      </c>
      <c r="AC43" s="5">
        <f>((IF(AND((O43="CA"),(I43="Adult (&gt; 15 years)")),(AB43*(VLOOKUP(J43,CA_ingestion!A$1:J$78,10,0))),0)))</f>
        <v>0</v>
      </c>
      <c r="AD43" s="5">
        <f t="shared" si="4"/>
        <v>0</v>
      </c>
      <c r="AE43" s="5">
        <f t="shared" si="5"/>
        <v>0</v>
      </c>
    </row>
    <row r="44" spans="1:31" ht="15.5">
      <c r="A44" s="29" t="s">
        <v>283</v>
      </c>
      <c r="B44" s="29">
        <v>0</v>
      </c>
      <c r="C44" s="29"/>
      <c r="D44" s="29"/>
      <c r="E44" s="26" t="str">
        <f>Summary!C$23</f>
        <v>Afghanistan</v>
      </c>
      <c r="F44" s="29"/>
      <c r="G44" s="29" t="s">
        <v>369</v>
      </c>
      <c r="H44" s="33">
        <f>VLOOKUP(G44,'List Data'!$A$100:$B$104,2,0)</f>
        <v>0</v>
      </c>
      <c r="I44" s="29" t="s">
        <v>213</v>
      </c>
      <c r="J44" s="29" t="s">
        <v>213</v>
      </c>
      <c r="K44" s="29">
        <v>0</v>
      </c>
      <c r="L44" s="29"/>
      <c r="M44" s="37">
        <f>R44*Summary!$H$27</f>
        <v>0</v>
      </c>
      <c r="N44" s="37">
        <f>S44*Summary!$H$25</f>
        <v>0</v>
      </c>
      <c r="O44" s="26">
        <f>VLOOKUP(J44,'List Data'!A$2:C$94,3,0)</f>
        <v>0</v>
      </c>
      <c r="P44" s="26" t="str">
        <f>VLOOKUP(J44,'List Data'!A$2:B$94,2,0)</f>
        <v>--------</v>
      </c>
      <c r="Q44" s="26">
        <f t="shared" si="0"/>
        <v>0</v>
      </c>
      <c r="R44" s="26">
        <f t="shared" si="1"/>
        <v>0</v>
      </c>
      <c r="S44" s="26">
        <f t="shared" si="2"/>
        <v>0</v>
      </c>
      <c r="T44" s="26">
        <f>(IF(AND((O44="OP"),(I44="Child (0-7 years)")),VLOOKUP(K44,'OP Values'!$A$1:$Q$35,7),))*H44</f>
        <v>0</v>
      </c>
      <c r="U44" s="26">
        <f>(IF(O44="OP",VLOOKUP($Q44,'OP Values'!$A$1:$Q$35,17),))*H44</f>
        <v>0</v>
      </c>
      <c r="V44" s="26">
        <f>(IF(AND((O44="Pb"),(I44="Child (0-7 years)")),(VLOOKUP(Q44,Pb!$A$1:$AV$103,7)),0))*H44</f>
        <v>0</v>
      </c>
      <c r="W44" s="26">
        <f>(IF(AND((O44="Pb"),(I44="Child (0-7 years)")),(VLOOKUP(Q44,Pb!$C$2:$AV$103,20)),0))*H44</f>
        <v>0</v>
      </c>
      <c r="X44" s="26">
        <f>(IF(AND((O44="Pb"),(I44="Adult (&gt; 15 years)")),(VLOOKUP(Q44,Pb!$A$2:$AV$103,46)),0))*H44</f>
        <v>0</v>
      </c>
      <c r="Y44" s="26">
        <f>(IF(AND((O44="Hg"),(I44="Child (0-7 years)")),(VLOOKUP(Q44,'Hg Values'!$A$1:$M$30,3)),0))*H44</f>
        <v>0</v>
      </c>
      <c r="Z44" s="26">
        <f>(IF(AND((O44="Hg"),(I44="Child (0-7 years)")),(VLOOKUP(Q44,'Hg Values'!$A$1:$M$30,13)),0))*H44</f>
        <v>0</v>
      </c>
      <c r="AA44" s="5">
        <f>(((IF(AND((O44="CA"),(I44="Adult (&gt; 15 years)")),((Q44*1)/70)*(VLOOKUP(J44,CA_ingestion!A$1:J$78,4,0)),0))))/11</f>
        <v>0</v>
      </c>
      <c r="AB44" s="5">
        <f t="shared" si="3"/>
        <v>0</v>
      </c>
      <c r="AC44" s="5">
        <f>((IF(AND((O44="CA"),(I44="Adult (&gt; 15 years)")),(AB44*(VLOOKUP(J44,CA_ingestion!A$1:J$78,10,0))),0)))</f>
        <v>0</v>
      </c>
      <c r="AD44" s="5">
        <f t="shared" si="4"/>
        <v>0</v>
      </c>
      <c r="AE44" s="5">
        <f t="shared" si="5"/>
        <v>0</v>
      </c>
    </row>
    <row r="45" spans="1:31" ht="15.5">
      <c r="A45" s="29" t="s">
        <v>283</v>
      </c>
      <c r="B45" s="29">
        <v>0</v>
      </c>
      <c r="C45" s="29"/>
      <c r="D45" s="29"/>
      <c r="E45" s="26" t="str">
        <f>Summary!C$23</f>
        <v>Afghanistan</v>
      </c>
      <c r="F45" s="29"/>
      <c r="G45" s="29" t="s">
        <v>369</v>
      </c>
      <c r="H45" s="33">
        <f>VLOOKUP(G45,'List Data'!$A$100:$B$104,2,0)</f>
        <v>0</v>
      </c>
      <c r="I45" s="29" t="s">
        <v>213</v>
      </c>
      <c r="J45" s="29" t="s">
        <v>213</v>
      </c>
      <c r="K45" s="29">
        <v>0</v>
      </c>
      <c r="L45" s="29"/>
      <c r="M45" s="37">
        <f>R45*Summary!$H$27</f>
        <v>0</v>
      </c>
      <c r="N45" s="37">
        <f>S45*Summary!$H$25</f>
        <v>0</v>
      </c>
      <c r="O45" s="26">
        <f>VLOOKUP(J45,'List Data'!A$2:C$94,3,0)</f>
        <v>0</v>
      </c>
      <c r="P45" s="26" t="str">
        <f>VLOOKUP(J45,'List Data'!A$2:B$94,2,0)</f>
        <v>--------</v>
      </c>
      <c r="Q45" s="26">
        <f t="shared" si="0"/>
        <v>0</v>
      </c>
      <c r="R45" s="26">
        <f t="shared" si="1"/>
        <v>0</v>
      </c>
      <c r="S45" s="26">
        <f t="shared" si="2"/>
        <v>0</v>
      </c>
      <c r="T45" s="26">
        <f>(IF(AND((O45="OP"),(I45="Child (0-7 years)")),VLOOKUP(K45,'OP Values'!$A$1:$Q$35,7),))*H45</f>
        <v>0</v>
      </c>
      <c r="U45" s="26">
        <f>(IF(O45="OP",VLOOKUP($Q45,'OP Values'!$A$1:$Q$35,17),))*H45</f>
        <v>0</v>
      </c>
      <c r="V45" s="26">
        <f>(IF(AND((O45="Pb"),(I45="Child (0-7 years)")),(VLOOKUP(Q45,Pb!$A$1:$AV$103,7)),0))*H45</f>
        <v>0</v>
      </c>
      <c r="W45" s="26">
        <f>(IF(AND((O45="Pb"),(I45="Child (0-7 years)")),(VLOOKUP(Q45,Pb!$C$2:$AV$103,20)),0))*H45</f>
        <v>0</v>
      </c>
      <c r="X45" s="26">
        <f>(IF(AND((O45="Pb"),(I45="Adult (&gt; 15 years)")),(VLOOKUP(Q45,Pb!$A$2:$AV$103,46)),0))*H45</f>
        <v>0</v>
      </c>
      <c r="Y45" s="26">
        <f>(IF(AND((O45="Hg"),(I45="Child (0-7 years)")),(VLOOKUP(Q45,'Hg Values'!$A$1:$M$30,3)),0))*H45</f>
        <v>0</v>
      </c>
      <c r="Z45" s="26">
        <f>(IF(AND((O45="Hg"),(I45="Child (0-7 years)")),(VLOOKUP(Q45,'Hg Values'!$A$1:$M$30,13)),0))*H45</f>
        <v>0</v>
      </c>
      <c r="AA45" s="5">
        <f>(((IF(AND((O45="CA"),(I45="Adult (&gt; 15 years)")),((Q45*1)/70)*(VLOOKUP(J45,CA_ingestion!A$1:J$78,4,0)),0))))/11</f>
        <v>0</v>
      </c>
      <c r="AB45" s="5">
        <f t="shared" si="3"/>
        <v>0</v>
      </c>
      <c r="AC45" s="5">
        <f>((IF(AND((O45="CA"),(I45="Adult (&gt; 15 years)")),(AB45*(VLOOKUP(J45,CA_ingestion!A$1:J$78,10,0))),0)))</f>
        <v>0</v>
      </c>
      <c r="AD45" s="5">
        <f t="shared" si="4"/>
        <v>0</v>
      </c>
      <c r="AE45" s="5">
        <f t="shared" si="5"/>
        <v>0</v>
      </c>
    </row>
    <row r="46" spans="1:31" ht="15.5">
      <c r="A46" s="29" t="s">
        <v>283</v>
      </c>
      <c r="B46" s="29">
        <v>0</v>
      </c>
      <c r="C46" s="29"/>
      <c r="D46" s="29"/>
      <c r="E46" s="26" t="str">
        <f>Summary!C$23</f>
        <v>Afghanistan</v>
      </c>
      <c r="F46" s="29"/>
      <c r="G46" s="29" t="s">
        <v>369</v>
      </c>
      <c r="H46" s="33">
        <f>VLOOKUP(G46,'List Data'!$A$100:$B$104,2,0)</f>
        <v>0</v>
      </c>
      <c r="I46" s="29" t="s">
        <v>213</v>
      </c>
      <c r="J46" s="29" t="s">
        <v>213</v>
      </c>
      <c r="K46" s="29">
        <v>0</v>
      </c>
      <c r="L46" s="29"/>
      <c r="M46" s="37">
        <f>R46*Summary!$H$27</f>
        <v>0</v>
      </c>
      <c r="N46" s="37">
        <f>S46*Summary!$H$25</f>
        <v>0</v>
      </c>
      <c r="O46" s="26">
        <f>VLOOKUP(J46,'List Data'!A$2:C$94,3,0)</f>
        <v>0</v>
      </c>
      <c r="P46" s="26" t="str">
        <f>VLOOKUP(J46,'List Data'!A$2:B$94,2,0)</f>
        <v>--------</v>
      </c>
      <c r="Q46" s="26">
        <f t="shared" si="0"/>
        <v>0</v>
      </c>
      <c r="R46" s="26">
        <f t="shared" si="1"/>
        <v>0</v>
      </c>
      <c r="S46" s="26">
        <f t="shared" si="2"/>
        <v>0</v>
      </c>
      <c r="T46" s="26">
        <f>(IF(AND((O46="OP"),(I46="Child (0-7 years)")),VLOOKUP(K46,'OP Values'!$A$1:$Q$35,7),))*H46</f>
        <v>0</v>
      </c>
      <c r="U46" s="26">
        <f>(IF(O46="OP",VLOOKUP($Q46,'OP Values'!$A$1:$Q$35,17),))*H46</f>
        <v>0</v>
      </c>
      <c r="V46" s="26">
        <f>(IF(AND((O46="Pb"),(I46="Child (0-7 years)")),(VLOOKUP(Q46,Pb!$A$1:$AV$103,7)),0))*H46</f>
        <v>0</v>
      </c>
      <c r="W46" s="26">
        <f>(IF(AND((O46="Pb"),(I46="Child (0-7 years)")),(VLOOKUP(Q46,Pb!$C$2:$AV$103,20)),0))*H46</f>
        <v>0</v>
      </c>
      <c r="X46" s="26">
        <f>(IF(AND((O46="Pb"),(I46="Adult (&gt; 15 years)")),(VLOOKUP(Q46,Pb!$A$2:$AV$103,46)),0))*H46</f>
        <v>0</v>
      </c>
      <c r="Y46" s="26">
        <f>(IF(AND((O46="Hg"),(I46="Child (0-7 years)")),(VLOOKUP(Q46,'Hg Values'!$A$1:$M$30,3)),0))*H46</f>
        <v>0</v>
      </c>
      <c r="Z46" s="26">
        <f>(IF(AND((O46="Hg"),(I46="Child (0-7 years)")),(VLOOKUP(Q46,'Hg Values'!$A$1:$M$30,13)),0))*H46</f>
        <v>0</v>
      </c>
      <c r="AA46" s="5">
        <f>(((IF(AND((O46="CA"),(I46="Adult (&gt; 15 years)")),((Q46*1)/70)*(VLOOKUP(J46,CA_ingestion!A$1:J$78,4,0)),0))))/11</f>
        <v>0</v>
      </c>
      <c r="AB46" s="5">
        <f t="shared" si="3"/>
        <v>0</v>
      </c>
      <c r="AC46" s="5">
        <f>((IF(AND((O46="CA"),(I46="Adult (&gt; 15 years)")),(AB46*(VLOOKUP(J46,CA_ingestion!A$1:J$78,10,0))),0)))</f>
        <v>0</v>
      </c>
      <c r="AD46" s="5">
        <f t="shared" si="4"/>
        <v>0</v>
      </c>
      <c r="AE46" s="5">
        <f t="shared" si="5"/>
        <v>0</v>
      </c>
    </row>
    <row r="47" spans="1:31" ht="15.5">
      <c r="A47" s="29" t="s">
        <v>283</v>
      </c>
      <c r="B47" s="29">
        <v>0</v>
      </c>
      <c r="C47" s="29"/>
      <c r="D47" s="29"/>
      <c r="E47" s="26" t="str">
        <f>Summary!C$23</f>
        <v>Afghanistan</v>
      </c>
      <c r="F47" s="29"/>
      <c r="G47" s="29" t="s">
        <v>369</v>
      </c>
      <c r="H47" s="33">
        <f>VLOOKUP(G47,'List Data'!$A$100:$B$104,2,0)</f>
        <v>0</v>
      </c>
      <c r="I47" s="29" t="s">
        <v>213</v>
      </c>
      <c r="J47" s="29" t="s">
        <v>213</v>
      </c>
      <c r="K47" s="29">
        <v>0</v>
      </c>
      <c r="L47" s="29"/>
      <c r="M47" s="37">
        <f>R47*Summary!$H$27</f>
        <v>0</v>
      </c>
      <c r="N47" s="37">
        <f>S47*Summary!$H$25</f>
        <v>0</v>
      </c>
      <c r="O47" s="26">
        <f>VLOOKUP(J47,'List Data'!A$2:C$94,3,0)</f>
        <v>0</v>
      </c>
      <c r="P47" s="26" t="str">
        <f>VLOOKUP(J47,'List Data'!A$2:B$94,2,0)</f>
        <v>--------</v>
      </c>
      <c r="Q47" s="26">
        <f t="shared" si="0"/>
        <v>0</v>
      </c>
      <c r="R47" s="26">
        <f t="shared" si="1"/>
        <v>0</v>
      </c>
      <c r="S47" s="26">
        <f t="shared" si="2"/>
        <v>0</v>
      </c>
      <c r="T47" s="26">
        <f>(IF(AND((O47="OP"),(I47="Child (0-7 years)")),VLOOKUP(K47,'OP Values'!$A$1:$Q$35,7),))*H47</f>
        <v>0</v>
      </c>
      <c r="U47" s="26">
        <f>(IF(O47="OP",VLOOKUP($Q47,'OP Values'!$A$1:$Q$35,17),))*H47</f>
        <v>0</v>
      </c>
      <c r="V47" s="26">
        <f>(IF(AND((O47="Pb"),(I47="Child (0-7 years)")),(VLOOKUP(Q47,Pb!$A$1:$AV$103,7)),0))*H47</f>
        <v>0</v>
      </c>
      <c r="W47" s="26">
        <f>(IF(AND((O47="Pb"),(I47="Child (0-7 years)")),(VLOOKUP(Q47,Pb!$C$2:$AV$103,20)),0))*H47</f>
        <v>0</v>
      </c>
      <c r="X47" s="26">
        <f>(IF(AND((O47="Pb"),(I47="Adult (&gt; 15 years)")),(VLOOKUP(Q47,Pb!$A$2:$AV$103,46)),0))*H47</f>
        <v>0</v>
      </c>
      <c r="Y47" s="26">
        <f>(IF(AND((O47="Hg"),(I47="Child (0-7 years)")),(VLOOKUP(Q47,'Hg Values'!$A$1:$M$30,3)),0))*H47</f>
        <v>0</v>
      </c>
      <c r="Z47" s="26">
        <f>(IF(AND((O47="Hg"),(I47="Child (0-7 years)")),(VLOOKUP(Q47,'Hg Values'!$A$1:$M$30,13)),0))*H47</f>
        <v>0</v>
      </c>
      <c r="AA47" s="5">
        <f>(((IF(AND((O47="CA"),(I47="Adult (&gt; 15 years)")),((Q47*1)/70)*(VLOOKUP(J47,CA_ingestion!A$1:J$78,4,0)),0))))/11</f>
        <v>0</v>
      </c>
      <c r="AB47" s="5">
        <f t="shared" si="3"/>
        <v>0</v>
      </c>
      <c r="AC47" s="5">
        <f>((IF(AND((O47="CA"),(I47="Adult (&gt; 15 years)")),(AB47*(VLOOKUP(J47,CA_ingestion!A$1:J$78,10,0))),0)))</f>
        <v>0</v>
      </c>
      <c r="AD47" s="5">
        <f t="shared" si="4"/>
        <v>0</v>
      </c>
      <c r="AE47" s="5">
        <f t="shared" si="5"/>
        <v>0</v>
      </c>
    </row>
    <row r="48" spans="1:31" ht="15.5">
      <c r="A48" s="29" t="s">
        <v>283</v>
      </c>
      <c r="B48" s="29">
        <v>0</v>
      </c>
      <c r="C48" s="29"/>
      <c r="D48" s="29"/>
      <c r="E48" s="26" t="str">
        <f>Summary!C$23</f>
        <v>Afghanistan</v>
      </c>
      <c r="F48" s="29"/>
      <c r="G48" s="29" t="s">
        <v>369</v>
      </c>
      <c r="H48" s="33">
        <f>VLOOKUP(G48,'List Data'!$A$100:$B$104,2,0)</f>
        <v>0</v>
      </c>
      <c r="I48" s="29" t="s">
        <v>213</v>
      </c>
      <c r="J48" s="29" t="s">
        <v>213</v>
      </c>
      <c r="K48" s="29">
        <v>0</v>
      </c>
      <c r="L48" s="29"/>
      <c r="M48" s="37">
        <f>R48*Summary!$H$27</f>
        <v>0</v>
      </c>
      <c r="N48" s="37">
        <f>S48*Summary!$H$25</f>
        <v>0</v>
      </c>
      <c r="O48" s="26">
        <f>VLOOKUP(J48,'List Data'!A$2:C$94,3,0)</f>
        <v>0</v>
      </c>
      <c r="P48" s="26" t="str">
        <f>VLOOKUP(J48,'List Data'!A$2:B$94,2,0)</f>
        <v>--------</v>
      </c>
      <c r="Q48" s="26">
        <f t="shared" si="0"/>
        <v>0</v>
      </c>
      <c r="R48" s="26">
        <f t="shared" si="1"/>
        <v>0</v>
      </c>
      <c r="S48" s="26">
        <f t="shared" si="2"/>
        <v>0</v>
      </c>
      <c r="T48" s="26">
        <f>(IF(AND((O48="OP"),(I48="Child (0-7 years)")),VLOOKUP(K48,'OP Values'!$A$1:$Q$35,7),))*H48</f>
        <v>0</v>
      </c>
      <c r="U48" s="26">
        <f>(IF(O48="OP",VLOOKUP($Q48,'OP Values'!$A$1:$Q$35,17),))*H48</f>
        <v>0</v>
      </c>
      <c r="V48" s="26">
        <f>(IF(AND((O48="Pb"),(I48="Child (0-7 years)")),(VLOOKUP(Q48,Pb!$A$1:$AV$103,7)),0))*H48</f>
        <v>0</v>
      </c>
      <c r="W48" s="26">
        <f>(IF(AND((O48="Pb"),(I48="Child (0-7 years)")),(VLOOKUP(Q48,Pb!$C$2:$AV$103,20)),0))*H48</f>
        <v>0</v>
      </c>
      <c r="X48" s="26">
        <f>(IF(AND((O48="Pb"),(I48="Adult (&gt; 15 years)")),(VLOOKUP(Q48,Pb!$A$2:$AV$103,46)),0))*H48</f>
        <v>0</v>
      </c>
      <c r="Y48" s="26">
        <f>(IF(AND((O48="Hg"),(I48="Child (0-7 years)")),(VLOOKUP(Q48,'Hg Values'!$A$1:$M$30,3)),0))*H48</f>
        <v>0</v>
      </c>
      <c r="Z48" s="26">
        <f>(IF(AND((O48="Hg"),(I48="Child (0-7 years)")),(VLOOKUP(Q48,'Hg Values'!$A$1:$M$30,13)),0))*H48</f>
        <v>0</v>
      </c>
      <c r="AA48" s="5">
        <f>(((IF(AND((O48="CA"),(I48="Adult (&gt; 15 years)")),((Q48*1)/70)*(VLOOKUP(J48,CA_ingestion!A$1:J$78,4,0)),0))))/11</f>
        <v>0</v>
      </c>
      <c r="AB48" s="5">
        <f t="shared" si="3"/>
        <v>0</v>
      </c>
      <c r="AC48" s="5">
        <f>((IF(AND((O48="CA"),(I48="Adult (&gt; 15 years)")),(AB48*(VLOOKUP(J48,CA_ingestion!A$1:J$78,10,0))),0)))</f>
        <v>0</v>
      </c>
      <c r="AD48" s="5">
        <f t="shared" si="4"/>
        <v>0</v>
      </c>
      <c r="AE48" s="5">
        <f t="shared" si="5"/>
        <v>0</v>
      </c>
    </row>
    <row r="49" spans="1:31" ht="15.5">
      <c r="A49" s="29" t="s">
        <v>283</v>
      </c>
      <c r="B49" s="29">
        <v>0</v>
      </c>
      <c r="C49" s="29"/>
      <c r="D49" s="29"/>
      <c r="E49" s="26" t="str">
        <f>Summary!C$23</f>
        <v>Afghanistan</v>
      </c>
      <c r="F49" s="29"/>
      <c r="G49" s="29" t="s">
        <v>369</v>
      </c>
      <c r="H49" s="33">
        <f>VLOOKUP(G49,'List Data'!$A$100:$B$104,2,0)</f>
        <v>0</v>
      </c>
      <c r="I49" s="29" t="s">
        <v>213</v>
      </c>
      <c r="J49" s="29" t="s">
        <v>213</v>
      </c>
      <c r="K49" s="29">
        <v>0</v>
      </c>
      <c r="L49" s="29"/>
      <c r="M49" s="37">
        <f>R49*Summary!$H$27</f>
        <v>0</v>
      </c>
      <c r="N49" s="37">
        <f>S49*Summary!$H$25</f>
        <v>0</v>
      </c>
      <c r="O49" s="26">
        <f>VLOOKUP(J49,'List Data'!A$2:C$94,3,0)</f>
        <v>0</v>
      </c>
      <c r="P49" s="26" t="str">
        <f>VLOOKUP(J49,'List Data'!A$2:B$94,2,0)</f>
        <v>--------</v>
      </c>
      <c r="Q49" s="26">
        <f t="shared" si="0"/>
        <v>0</v>
      </c>
      <c r="R49" s="26">
        <f t="shared" si="1"/>
        <v>0</v>
      </c>
      <c r="S49" s="26">
        <f t="shared" si="2"/>
        <v>0</v>
      </c>
      <c r="T49" s="26">
        <f>(IF(AND((O49="OP"),(I49="Child (0-7 years)")),VLOOKUP(K49,'OP Values'!$A$1:$Q$35,7),))*H49</f>
        <v>0</v>
      </c>
      <c r="U49" s="26">
        <f>(IF(O49="OP",VLOOKUP($Q49,'OP Values'!$A$1:$Q$35,17),))*H49</f>
        <v>0</v>
      </c>
      <c r="V49" s="26">
        <f>(IF(AND((O49="Pb"),(I49="Child (0-7 years)")),(VLOOKUP(Q49,Pb!$A$1:$AV$103,7)),0))*H49</f>
        <v>0</v>
      </c>
      <c r="W49" s="26">
        <f>(IF(AND((O49="Pb"),(I49="Child (0-7 years)")),(VLOOKUP(Q49,Pb!$C$2:$AV$103,20)),0))*H49</f>
        <v>0</v>
      </c>
      <c r="X49" s="26">
        <f>(IF(AND((O49="Pb"),(I49="Adult (&gt; 15 years)")),(VLOOKUP(Q49,Pb!$A$2:$AV$103,46)),0))*H49</f>
        <v>0</v>
      </c>
      <c r="Y49" s="26">
        <f>(IF(AND((O49="Hg"),(I49="Child (0-7 years)")),(VLOOKUP(Q49,'Hg Values'!$A$1:$M$30,3)),0))*H49</f>
        <v>0</v>
      </c>
      <c r="Z49" s="26">
        <f>(IF(AND((O49="Hg"),(I49="Child (0-7 years)")),(VLOOKUP(Q49,'Hg Values'!$A$1:$M$30,13)),0))*H49</f>
        <v>0</v>
      </c>
      <c r="AA49" s="5">
        <f>(((IF(AND((O49="CA"),(I49="Adult (&gt; 15 years)")),((Q49*1)/70)*(VLOOKUP(J49,CA_ingestion!A$1:J$78,4,0)),0))))/11</f>
        <v>0</v>
      </c>
      <c r="AB49" s="5">
        <f t="shared" si="3"/>
        <v>0</v>
      </c>
      <c r="AC49" s="5">
        <f>((IF(AND((O49="CA"),(I49="Adult (&gt; 15 years)")),(AB49*(VLOOKUP(J49,CA_ingestion!A$1:J$78,10,0))),0)))</f>
        <v>0</v>
      </c>
      <c r="AD49" s="5">
        <f t="shared" si="4"/>
        <v>0</v>
      </c>
      <c r="AE49" s="5">
        <f t="shared" si="5"/>
        <v>0</v>
      </c>
    </row>
    <row r="50" spans="1:31" ht="15.5">
      <c r="A50" s="29" t="s">
        <v>283</v>
      </c>
      <c r="B50" s="29">
        <v>0</v>
      </c>
      <c r="C50" s="29"/>
      <c r="D50" s="29"/>
      <c r="E50" s="26" t="str">
        <f>Summary!C$23</f>
        <v>Afghanistan</v>
      </c>
      <c r="F50" s="29"/>
      <c r="G50" s="29" t="s">
        <v>369</v>
      </c>
      <c r="H50" s="33">
        <f>VLOOKUP(G50,'List Data'!$A$100:$B$104,2,0)</f>
        <v>0</v>
      </c>
      <c r="I50" s="29" t="s">
        <v>213</v>
      </c>
      <c r="J50" s="29" t="s">
        <v>213</v>
      </c>
      <c r="K50" s="29">
        <v>0</v>
      </c>
      <c r="L50" s="29"/>
      <c r="M50" s="37">
        <f>R50*Summary!$H$27</f>
        <v>0</v>
      </c>
      <c r="N50" s="37">
        <f>S50*Summary!$H$25</f>
        <v>0</v>
      </c>
      <c r="O50" s="26">
        <f>VLOOKUP(J50,'List Data'!A$2:C$94,3,0)</f>
        <v>0</v>
      </c>
      <c r="P50" s="26" t="str">
        <f>VLOOKUP(J50,'List Data'!A$2:B$94,2,0)</f>
        <v>--------</v>
      </c>
      <c r="Q50" s="26">
        <f t="shared" si="0"/>
        <v>0</v>
      </c>
      <c r="R50" s="26">
        <f t="shared" si="1"/>
        <v>0</v>
      </c>
      <c r="S50" s="26">
        <f t="shared" si="2"/>
        <v>0</v>
      </c>
      <c r="T50" s="26">
        <f>(IF(AND((O50="OP"),(I50="Child (0-7 years)")),VLOOKUP(K50,'OP Values'!$A$1:$Q$35,7),))*H50</f>
        <v>0</v>
      </c>
      <c r="U50" s="26">
        <f>(IF(O50="OP",VLOOKUP($Q50,'OP Values'!$A$1:$Q$35,17),))*H50</f>
        <v>0</v>
      </c>
      <c r="V50" s="26">
        <f>(IF(AND((O50="Pb"),(I50="Child (0-7 years)")),(VLOOKUP(Q50,Pb!$A$1:$AV$103,7)),0))*H50</f>
        <v>0</v>
      </c>
      <c r="W50" s="26">
        <f>(IF(AND((O50="Pb"),(I50="Child (0-7 years)")),(VLOOKUP(Q50,Pb!$C$2:$AV$103,20)),0))*H50</f>
        <v>0</v>
      </c>
      <c r="X50" s="26">
        <f>(IF(AND((O50="Pb"),(I50="Adult (&gt; 15 years)")),(VLOOKUP(Q50,Pb!$A$2:$AV$103,46)),0))*H50</f>
        <v>0</v>
      </c>
      <c r="Y50" s="26">
        <f>(IF(AND((O50="Hg"),(I50="Child (0-7 years)")),(VLOOKUP(Q50,'Hg Values'!$A$1:$M$30,3)),0))*H50</f>
        <v>0</v>
      </c>
      <c r="Z50" s="26">
        <f>(IF(AND((O50="Hg"),(I50="Child (0-7 years)")),(VLOOKUP(Q50,'Hg Values'!$A$1:$M$30,13)),0))*H50</f>
        <v>0</v>
      </c>
      <c r="AA50" s="5">
        <f>(((IF(AND((O50="CA"),(I50="Adult (&gt; 15 years)")),((Q50*1)/70)*(VLOOKUP(J50,CA_ingestion!A$1:J$78,4,0)),0))))/11</f>
        <v>0</v>
      </c>
      <c r="AB50" s="5">
        <f t="shared" si="3"/>
        <v>0</v>
      </c>
      <c r="AC50" s="5">
        <f>((IF(AND((O50="CA"),(I50="Adult (&gt; 15 years)")),(AB50*(VLOOKUP(J50,CA_ingestion!A$1:J$78,10,0))),0)))</f>
        <v>0</v>
      </c>
      <c r="AD50" s="5">
        <f t="shared" si="4"/>
        <v>0</v>
      </c>
      <c r="AE50" s="5">
        <f t="shared" si="5"/>
        <v>0</v>
      </c>
    </row>
    <row r="51" spans="1:31" ht="15.5">
      <c r="A51" s="29" t="s">
        <v>283</v>
      </c>
      <c r="B51" s="29">
        <v>0</v>
      </c>
      <c r="C51" s="29"/>
      <c r="D51" s="29"/>
      <c r="E51" s="26" t="str">
        <f>Summary!C$23</f>
        <v>Afghanistan</v>
      </c>
      <c r="F51" s="29"/>
      <c r="G51" s="29" t="s">
        <v>369</v>
      </c>
      <c r="H51" s="33">
        <f>VLOOKUP(G51,'List Data'!$A$100:$B$104,2,0)</f>
        <v>0</v>
      </c>
      <c r="I51" s="29" t="s">
        <v>213</v>
      </c>
      <c r="J51" s="29" t="s">
        <v>213</v>
      </c>
      <c r="K51" s="29">
        <v>0</v>
      </c>
      <c r="L51" s="29"/>
      <c r="M51" s="37">
        <f>R51*Summary!$H$27</f>
        <v>0</v>
      </c>
      <c r="N51" s="37">
        <f>S51*Summary!$H$25</f>
        <v>0</v>
      </c>
      <c r="O51" s="26">
        <f>VLOOKUP(J51,'List Data'!A$2:C$94,3,0)</f>
        <v>0</v>
      </c>
      <c r="P51" s="26" t="str">
        <f>VLOOKUP(J51,'List Data'!A$2:B$94,2,0)</f>
        <v>--------</v>
      </c>
      <c r="Q51" s="26">
        <f t="shared" si="0"/>
        <v>0</v>
      </c>
      <c r="R51" s="26">
        <f t="shared" si="1"/>
        <v>0</v>
      </c>
      <c r="S51" s="26">
        <f t="shared" si="2"/>
        <v>0</v>
      </c>
      <c r="T51" s="26">
        <f>(IF(AND((O51="OP"),(I51="Child (0-7 years)")),VLOOKUP(K51,'OP Values'!$A$1:$Q$35,7),))*H51</f>
        <v>0</v>
      </c>
      <c r="U51" s="26">
        <f>(IF(O51="OP",VLOOKUP($Q51,'OP Values'!$A$1:$Q$35,17),))*H51</f>
        <v>0</v>
      </c>
      <c r="V51" s="26">
        <f>(IF(AND((O51="Pb"),(I51="Child (0-7 years)")),(VLOOKUP(Q51,Pb!$A$1:$AV$103,7)),0))*H51</f>
        <v>0</v>
      </c>
      <c r="W51" s="26">
        <f>(IF(AND((O51="Pb"),(I51="Child (0-7 years)")),(VLOOKUP(Q51,Pb!$C$2:$AV$103,20)),0))*H51</f>
        <v>0</v>
      </c>
      <c r="X51" s="26">
        <f>(IF(AND((O51="Pb"),(I51="Adult (&gt; 15 years)")),(VLOOKUP(Q51,Pb!$A$2:$AV$103,46)),0))*H51</f>
        <v>0</v>
      </c>
      <c r="Y51" s="26">
        <f>(IF(AND((O51="Hg"),(I51="Child (0-7 years)")),(VLOOKUP(Q51,'Hg Values'!$A$1:$M$30,3)),0))*H51</f>
        <v>0</v>
      </c>
      <c r="Z51" s="26">
        <f>(IF(AND((O51="Hg"),(I51="Child (0-7 years)")),(VLOOKUP(Q51,'Hg Values'!$A$1:$M$30,13)),0))*H51</f>
        <v>0</v>
      </c>
      <c r="AA51" s="5">
        <f>(((IF(AND((O51="CA"),(I51="Adult (&gt; 15 years)")),((Q51*1)/70)*(VLOOKUP(J51,CA_ingestion!A$1:J$78,4,0)),0))))/11</f>
        <v>0</v>
      </c>
      <c r="AB51" s="5">
        <f t="shared" si="3"/>
        <v>0</v>
      </c>
      <c r="AC51" s="5">
        <f>((IF(AND((O51="CA"),(I51="Adult (&gt; 15 years)")),(AB51*(VLOOKUP(J51,CA_ingestion!A$1:J$78,10,0))),0)))</f>
        <v>0</v>
      </c>
      <c r="AD51" s="5">
        <f t="shared" si="4"/>
        <v>0</v>
      </c>
      <c r="AE51" s="5">
        <f t="shared" si="5"/>
        <v>0</v>
      </c>
    </row>
    <row r="52" spans="1:31" ht="15.5">
      <c r="A52" s="29" t="s">
        <v>283</v>
      </c>
      <c r="B52" s="29">
        <v>0</v>
      </c>
      <c r="C52" s="29"/>
      <c r="D52" s="29"/>
      <c r="E52" s="26" t="str">
        <f>Summary!C$23</f>
        <v>Afghanistan</v>
      </c>
      <c r="F52" s="29"/>
      <c r="G52" s="29" t="s">
        <v>369</v>
      </c>
      <c r="H52" s="33">
        <f>VLOOKUP(G52,'List Data'!$A$100:$B$104,2,0)</f>
        <v>0</v>
      </c>
      <c r="I52" s="29" t="s">
        <v>213</v>
      </c>
      <c r="J52" s="29" t="s">
        <v>213</v>
      </c>
      <c r="K52" s="29">
        <v>0</v>
      </c>
      <c r="L52" s="29"/>
      <c r="M52" s="37">
        <f>R52*Summary!$H$27</f>
        <v>0</v>
      </c>
      <c r="N52" s="37">
        <f>S52*Summary!$H$25</f>
        <v>0</v>
      </c>
      <c r="O52" s="26">
        <f>VLOOKUP(J52,'List Data'!A$2:C$94,3,0)</f>
        <v>0</v>
      </c>
      <c r="P52" s="26" t="str">
        <f>VLOOKUP(J52,'List Data'!A$2:B$94,2,0)</f>
        <v>--------</v>
      </c>
      <c r="Q52" s="26">
        <f t="shared" si="0"/>
        <v>0</v>
      </c>
      <c r="R52" s="26">
        <f t="shared" si="1"/>
        <v>0</v>
      </c>
      <c r="S52" s="26">
        <f t="shared" si="2"/>
        <v>0</v>
      </c>
      <c r="T52" s="26">
        <f>(IF(AND((O52="OP"),(I52="Child (0-7 years)")),VLOOKUP(K52,'OP Values'!$A$1:$Q$35,7),))*H52</f>
        <v>0</v>
      </c>
      <c r="U52" s="26">
        <f>(IF(O52="OP",VLOOKUP($Q52,'OP Values'!$A$1:$Q$35,17),))*H52</f>
        <v>0</v>
      </c>
      <c r="V52" s="26">
        <f>(IF(AND((O52="Pb"),(I52="Child (0-7 years)")),(VLOOKUP(Q52,Pb!$A$1:$AV$103,7)),0))*H52</f>
        <v>0</v>
      </c>
      <c r="W52" s="26">
        <f>(IF(AND((O52="Pb"),(I52="Child (0-7 years)")),(VLOOKUP(Q52,Pb!$C$2:$AV$103,20)),0))*H52</f>
        <v>0</v>
      </c>
      <c r="X52" s="26">
        <f>(IF(AND((O52="Pb"),(I52="Adult (&gt; 15 years)")),(VLOOKUP(Q52,Pb!$A$2:$AV$103,46)),0))*H52</f>
        <v>0</v>
      </c>
      <c r="Y52" s="26">
        <f>(IF(AND((O52="Hg"),(I52="Child (0-7 years)")),(VLOOKUP(Q52,'Hg Values'!$A$1:$M$30,3)),0))*H52</f>
        <v>0</v>
      </c>
      <c r="Z52" s="26">
        <f>(IF(AND((O52="Hg"),(I52="Child (0-7 years)")),(VLOOKUP(Q52,'Hg Values'!$A$1:$M$30,13)),0))*H52</f>
        <v>0</v>
      </c>
      <c r="AA52" s="5">
        <f>(((IF(AND((O52="CA"),(I52="Adult (&gt; 15 years)")),((Q52*1)/70)*(VLOOKUP(J52,CA_ingestion!A$1:J$78,4,0)),0))))/11</f>
        <v>0</v>
      </c>
      <c r="AB52" s="5">
        <f t="shared" si="3"/>
        <v>0</v>
      </c>
      <c r="AC52" s="5">
        <f>((IF(AND((O52="CA"),(I52="Adult (&gt; 15 years)")),(AB52*(VLOOKUP(J52,CA_ingestion!A$1:J$78,10,0))),0)))</f>
        <v>0</v>
      </c>
      <c r="AD52" s="5">
        <f t="shared" si="4"/>
        <v>0</v>
      </c>
      <c r="AE52" s="5">
        <f t="shared" si="5"/>
        <v>0</v>
      </c>
    </row>
    <row r="53" spans="1:31" ht="15.5">
      <c r="A53" s="29" t="s">
        <v>283</v>
      </c>
      <c r="B53" s="29">
        <v>0</v>
      </c>
      <c r="C53" s="29"/>
      <c r="D53" s="29"/>
      <c r="E53" s="26" t="str">
        <f>Summary!C$23</f>
        <v>Afghanistan</v>
      </c>
      <c r="F53" s="29"/>
      <c r="G53" s="29" t="s">
        <v>369</v>
      </c>
      <c r="H53" s="33">
        <f>VLOOKUP(G53,'List Data'!$A$100:$B$104,2,0)</f>
        <v>0</v>
      </c>
      <c r="I53" s="29" t="s">
        <v>213</v>
      </c>
      <c r="J53" s="29" t="s">
        <v>213</v>
      </c>
      <c r="K53" s="29">
        <v>0</v>
      </c>
      <c r="L53" s="29"/>
      <c r="M53" s="37">
        <f>R53*Summary!$H$27</f>
        <v>0</v>
      </c>
      <c r="N53" s="37">
        <f>S53*Summary!$H$25</f>
        <v>0</v>
      </c>
      <c r="O53" s="26">
        <f>VLOOKUP(J53,'List Data'!A$2:C$94,3,0)</f>
        <v>0</v>
      </c>
      <c r="P53" s="26" t="str">
        <f>VLOOKUP(J53,'List Data'!A$2:B$94,2,0)</f>
        <v>--------</v>
      </c>
      <c r="Q53" s="26">
        <f t="shared" si="0"/>
        <v>0</v>
      </c>
      <c r="R53" s="26">
        <f t="shared" si="1"/>
        <v>0</v>
      </c>
      <c r="S53" s="26">
        <f t="shared" si="2"/>
        <v>0</v>
      </c>
      <c r="T53" s="26">
        <f>(IF(AND((O53="OP"),(I53="Child (0-7 years)")),VLOOKUP(K53,'OP Values'!$A$1:$Q$35,7),))*H53</f>
        <v>0</v>
      </c>
      <c r="U53" s="26">
        <f>(IF(O53="OP",VLOOKUP($Q53,'OP Values'!$A$1:$Q$35,17),))*H53</f>
        <v>0</v>
      </c>
      <c r="V53" s="26">
        <f>(IF(AND((O53="Pb"),(I53="Child (0-7 years)")),(VLOOKUP(Q53,Pb!$A$1:$AV$103,7)),0))*H53</f>
        <v>0</v>
      </c>
      <c r="W53" s="26">
        <f>(IF(AND((O53="Pb"),(I53="Child (0-7 years)")),(VLOOKUP(Q53,Pb!$C$2:$AV$103,20)),0))*H53</f>
        <v>0</v>
      </c>
      <c r="X53" s="26">
        <f>(IF(AND((O53="Pb"),(I53="Adult (&gt; 15 years)")),(VLOOKUP(Q53,Pb!$A$2:$AV$103,46)),0))*H53</f>
        <v>0</v>
      </c>
      <c r="Y53" s="26">
        <f>(IF(AND((O53="Hg"),(I53="Child (0-7 years)")),(VLOOKUP(Q53,'Hg Values'!$A$1:$M$30,3)),0))*H53</f>
        <v>0</v>
      </c>
      <c r="Z53" s="26">
        <f>(IF(AND((O53="Hg"),(I53="Child (0-7 years)")),(VLOOKUP(Q53,'Hg Values'!$A$1:$M$30,13)),0))*H53</f>
        <v>0</v>
      </c>
      <c r="AA53" s="5">
        <f>(((IF(AND((O53="CA"),(I53="Adult (&gt; 15 years)")),((Q53*1)/70)*(VLOOKUP(J53,CA_ingestion!A$1:J$78,4,0)),0))))/11</f>
        <v>0</v>
      </c>
      <c r="AB53" s="5">
        <f t="shared" si="3"/>
        <v>0</v>
      </c>
      <c r="AC53" s="5">
        <f>((IF(AND((O53="CA"),(I53="Adult (&gt; 15 years)")),(AB53*(VLOOKUP(J53,CA_ingestion!A$1:J$78,10,0))),0)))</f>
        <v>0</v>
      </c>
      <c r="AD53" s="5">
        <f t="shared" si="4"/>
        <v>0</v>
      </c>
      <c r="AE53" s="5">
        <f t="shared" si="5"/>
        <v>0</v>
      </c>
    </row>
    <row r="54" spans="1:31" ht="15.5">
      <c r="A54" s="29" t="s">
        <v>283</v>
      </c>
      <c r="B54" s="29">
        <v>0</v>
      </c>
      <c r="C54" s="29"/>
      <c r="D54" s="29"/>
      <c r="E54" s="26" t="str">
        <f>Summary!C$23</f>
        <v>Afghanistan</v>
      </c>
      <c r="F54" s="29"/>
      <c r="G54" s="29" t="s">
        <v>369</v>
      </c>
      <c r="H54" s="33">
        <f>VLOOKUP(G54,'List Data'!$A$100:$B$104,2,0)</f>
        <v>0</v>
      </c>
      <c r="I54" s="29" t="s">
        <v>213</v>
      </c>
      <c r="J54" s="29" t="s">
        <v>213</v>
      </c>
      <c r="K54" s="29">
        <v>0</v>
      </c>
      <c r="L54" s="29"/>
      <c r="M54" s="37">
        <f>R54*Summary!$H$27</f>
        <v>0</v>
      </c>
      <c r="N54" s="37">
        <f>S54*Summary!$H$25</f>
        <v>0</v>
      </c>
      <c r="O54" s="26">
        <f>VLOOKUP(J54,'List Data'!A$2:C$94,3,0)</f>
        <v>0</v>
      </c>
      <c r="P54" s="26" t="str">
        <f>VLOOKUP(J54,'List Data'!A$2:B$94,2,0)</f>
        <v>--------</v>
      </c>
      <c r="Q54" s="26">
        <f t="shared" si="0"/>
        <v>0</v>
      </c>
      <c r="R54" s="26">
        <f t="shared" si="1"/>
        <v>0</v>
      </c>
      <c r="S54" s="26">
        <f t="shared" si="2"/>
        <v>0</v>
      </c>
      <c r="T54" s="26">
        <f>(IF(AND((O54="OP"),(I54="Child (0-7 years)")),VLOOKUP(K54,'OP Values'!$A$1:$Q$35,7),))*H54</f>
        <v>0</v>
      </c>
      <c r="U54" s="26">
        <f>(IF(O54="OP",VLOOKUP($Q54,'OP Values'!$A$1:$Q$35,17),))*H54</f>
        <v>0</v>
      </c>
      <c r="V54" s="26">
        <f>(IF(AND((O54="Pb"),(I54="Child (0-7 years)")),(VLOOKUP(Q54,Pb!$A$1:$AV$103,7)),0))*H54</f>
        <v>0</v>
      </c>
      <c r="W54" s="26">
        <f>(IF(AND((O54="Pb"),(I54="Child (0-7 years)")),(VLOOKUP(Q54,Pb!$C$2:$AV$103,20)),0))*H54</f>
        <v>0</v>
      </c>
      <c r="X54" s="26">
        <f>(IF(AND((O54="Pb"),(I54="Adult (&gt; 15 years)")),(VLOOKUP(Q54,Pb!$A$2:$AV$103,46)),0))*H54</f>
        <v>0</v>
      </c>
      <c r="Y54" s="26">
        <f>(IF(AND((O54="Hg"),(I54="Child (0-7 years)")),(VLOOKUP(Q54,'Hg Values'!$A$1:$M$30,3)),0))*H54</f>
        <v>0</v>
      </c>
      <c r="Z54" s="26">
        <f>(IF(AND((O54="Hg"),(I54="Child (0-7 years)")),(VLOOKUP(Q54,'Hg Values'!$A$1:$M$30,13)),0))*H54</f>
        <v>0</v>
      </c>
      <c r="AA54" s="5">
        <f>(((IF(AND((O54="CA"),(I54="Adult (&gt; 15 years)")),((Q54*1)/70)*(VLOOKUP(J54,CA_ingestion!A$1:J$78,4,0)),0))))/11</f>
        <v>0</v>
      </c>
      <c r="AB54" s="5">
        <f t="shared" si="3"/>
        <v>0</v>
      </c>
      <c r="AC54" s="5">
        <f>((IF(AND((O54="CA"),(I54="Adult (&gt; 15 years)")),(AB54*(VLOOKUP(J54,CA_ingestion!A$1:J$78,10,0))),0)))</f>
        <v>0</v>
      </c>
      <c r="AD54" s="5">
        <f t="shared" si="4"/>
        <v>0</v>
      </c>
      <c r="AE54" s="5">
        <f t="shared" si="5"/>
        <v>0</v>
      </c>
    </row>
    <row r="55" spans="1:31" ht="15.5">
      <c r="A55" s="29" t="s">
        <v>283</v>
      </c>
      <c r="B55" s="29">
        <v>0</v>
      </c>
      <c r="C55" s="29"/>
      <c r="D55" s="29"/>
      <c r="E55" s="26" t="str">
        <f>Summary!C$23</f>
        <v>Afghanistan</v>
      </c>
      <c r="F55" s="29"/>
      <c r="G55" s="29" t="s">
        <v>369</v>
      </c>
      <c r="H55" s="33">
        <f>VLOOKUP(G55,'List Data'!$A$100:$B$104,2,0)</f>
        <v>0</v>
      </c>
      <c r="I55" s="29" t="s">
        <v>213</v>
      </c>
      <c r="J55" s="29" t="s">
        <v>213</v>
      </c>
      <c r="K55" s="29">
        <v>0</v>
      </c>
      <c r="L55" s="29"/>
      <c r="M55" s="37">
        <f>R55*Summary!$H$27</f>
        <v>0</v>
      </c>
      <c r="N55" s="37">
        <f>S55*Summary!$H$25</f>
        <v>0</v>
      </c>
      <c r="O55" s="26">
        <f>VLOOKUP(J55,'List Data'!A$2:C$94,3,0)</f>
        <v>0</v>
      </c>
      <c r="P55" s="26" t="str">
        <f>VLOOKUP(J55,'List Data'!A$2:B$94,2,0)</f>
        <v>--------</v>
      </c>
      <c r="Q55" s="26">
        <f t="shared" si="0"/>
        <v>0</v>
      </c>
      <c r="R55" s="26">
        <f t="shared" si="1"/>
        <v>0</v>
      </c>
      <c r="S55" s="26">
        <f t="shared" si="2"/>
        <v>0</v>
      </c>
      <c r="T55" s="26">
        <f>(IF(AND((O55="OP"),(I55="Child (0-7 years)")),VLOOKUP(K55,'OP Values'!$A$1:$Q$35,7),))*H55</f>
        <v>0</v>
      </c>
      <c r="U55" s="26">
        <f>(IF(O55="OP",VLOOKUP($Q55,'OP Values'!$A$1:$Q$35,17),))*H55</f>
        <v>0</v>
      </c>
      <c r="V55" s="26">
        <f>(IF(AND((O55="Pb"),(I55="Child (0-7 years)")),(VLOOKUP(Q55,Pb!$A$1:$AV$103,7)),0))*H55</f>
        <v>0</v>
      </c>
      <c r="W55" s="26">
        <f>(IF(AND((O55="Pb"),(I55="Child (0-7 years)")),(VLOOKUP(Q55,Pb!$C$2:$AV$103,20)),0))*H55</f>
        <v>0</v>
      </c>
      <c r="X55" s="26">
        <f>(IF(AND((O55="Pb"),(I55="Adult (&gt; 15 years)")),(VLOOKUP(Q55,Pb!$A$2:$AV$103,46)),0))*H55</f>
        <v>0</v>
      </c>
      <c r="Y55" s="26">
        <f>(IF(AND((O55="Hg"),(I55="Child (0-7 years)")),(VLOOKUP(Q55,'Hg Values'!$A$1:$M$30,3)),0))*H55</f>
        <v>0</v>
      </c>
      <c r="Z55" s="26">
        <f>(IF(AND((O55="Hg"),(I55="Child (0-7 years)")),(VLOOKUP(Q55,'Hg Values'!$A$1:$M$30,13)),0))*H55</f>
        <v>0</v>
      </c>
      <c r="AA55" s="5">
        <f>(((IF(AND((O55="CA"),(I55="Adult (&gt; 15 years)")),((Q55*1)/70)*(VLOOKUP(J55,CA_ingestion!A$1:J$78,4,0)),0))))/11</f>
        <v>0</v>
      </c>
      <c r="AB55" s="5">
        <f t="shared" si="3"/>
        <v>0</v>
      </c>
      <c r="AC55" s="5">
        <f>((IF(AND((O55="CA"),(I55="Adult (&gt; 15 years)")),(AB55*(VLOOKUP(J55,CA_ingestion!A$1:J$78,10,0))),0)))</f>
        <v>0</v>
      </c>
      <c r="AD55" s="5">
        <f t="shared" si="4"/>
        <v>0</v>
      </c>
      <c r="AE55" s="5">
        <f t="shared" si="5"/>
        <v>0</v>
      </c>
    </row>
    <row r="56" spans="1:31" ht="15.5">
      <c r="A56" s="29" t="s">
        <v>283</v>
      </c>
      <c r="B56" s="29">
        <v>0</v>
      </c>
      <c r="C56" s="29"/>
      <c r="D56" s="29"/>
      <c r="E56" s="26" t="str">
        <f>Summary!C$23</f>
        <v>Afghanistan</v>
      </c>
      <c r="F56" s="29"/>
      <c r="G56" s="29" t="s">
        <v>369</v>
      </c>
      <c r="H56" s="33">
        <f>VLOOKUP(G56,'List Data'!$A$100:$B$104,2,0)</f>
        <v>0</v>
      </c>
      <c r="I56" s="29" t="s">
        <v>213</v>
      </c>
      <c r="J56" s="29" t="s">
        <v>213</v>
      </c>
      <c r="K56" s="29">
        <v>0</v>
      </c>
      <c r="L56" s="29"/>
      <c r="M56" s="37">
        <f>R56*Summary!$H$27</f>
        <v>0</v>
      </c>
      <c r="N56" s="37">
        <f>S56*Summary!$H$25</f>
        <v>0</v>
      </c>
      <c r="O56" s="26">
        <f>VLOOKUP(J56,'List Data'!A$2:C$94,3,0)</f>
        <v>0</v>
      </c>
      <c r="P56" s="26" t="str">
        <f>VLOOKUP(J56,'List Data'!A$2:B$94,2,0)</f>
        <v>--------</v>
      </c>
      <c r="Q56" s="26">
        <f t="shared" si="0"/>
        <v>0</v>
      </c>
      <c r="R56" s="26">
        <f t="shared" si="1"/>
        <v>0</v>
      </c>
      <c r="S56" s="26">
        <f t="shared" si="2"/>
        <v>0</v>
      </c>
      <c r="T56" s="26">
        <f>(IF(AND((O56="OP"),(I56="Child (0-7 years)")),VLOOKUP(K56,'OP Values'!$A$1:$Q$35,7),))*H56</f>
        <v>0</v>
      </c>
      <c r="U56" s="26">
        <f>(IF(O56="OP",VLOOKUP($Q56,'OP Values'!$A$1:$Q$35,17),))*H56</f>
        <v>0</v>
      </c>
      <c r="V56" s="26">
        <f>(IF(AND((O56="Pb"),(I56="Child (0-7 years)")),(VLOOKUP(Q56,Pb!$A$1:$AV$103,7)),0))*H56</f>
        <v>0</v>
      </c>
      <c r="W56" s="26">
        <f>(IF(AND((O56="Pb"),(I56="Child (0-7 years)")),(VLOOKUP(Q56,Pb!$C$2:$AV$103,20)),0))*H56</f>
        <v>0</v>
      </c>
      <c r="X56" s="26">
        <f>(IF(AND((O56="Pb"),(I56="Adult (&gt; 15 years)")),(VLOOKUP(Q56,Pb!$A$2:$AV$103,46)),0))*H56</f>
        <v>0</v>
      </c>
      <c r="Y56" s="26">
        <f>(IF(AND((O56="Hg"),(I56="Child (0-7 years)")),(VLOOKUP(Q56,'Hg Values'!$A$1:$M$30,3)),0))*H56</f>
        <v>0</v>
      </c>
      <c r="Z56" s="26">
        <f>(IF(AND((O56="Hg"),(I56="Child (0-7 years)")),(VLOOKUP(Q56,'Hg Values'!$A$1:$M$30,13)),0))*H56</f>
        <v>0</v>
      </c>
      <c r="AA56" s="5">
        <f>(((IF(AND((O56="CA"),(I56="Adult (&gt; 15 years)")),((Q56*1)/70)*(VLOOKUP(J56,CA_ingestion!A$1:J$78,4,0)),0))))/11</f>
        <v>0</v>
      </c>
      <c r="AB56" s="5">
        <f t="shared" si="3"/>
        <v>0</v>
      </c>
      <c r="AC56" s="5">
        <f>((IF(AND((O56="CA"),(I56="Adult (&gt; 15 years)")),(AB56*(VLOOKUP(J56,CA_ingestion!A$1:J$78,10,0))),0)))</f>
        <v>0</v>
      </c>
      <c r="AD56" s="5">
        <f t="shared" si="4"/>
        <v>0</v>
      </c>
      <c r="AE56" s="5">
        <f t="shared" si="5"/>
        <v>0</v>
      </c>
    </row>
    <row r="57" spans="1:31" ht="15.5">
      <c r="A57" s="29" t="s">
        <v>283</v>
      </c>
      <c r="B57" s="29">
        <v>0</v>
      </c>
      <c r="C57" s="29"/>
      <c r="D57" s="29"/>
      <c r="E57" s="26" t="str">
        <f>Summary!C$23</f>
        <v>Afghanistan</v>
      </c>
      <c r="F57" s="29"/>
      <c r="G57" s="29" t="s">
        <v>369</v>
      </c>
      <c r="H57" s="33">
        <f>VLOOKUP(G57,'List Data'!$A$100:$B$104,2,0)</f>
        <v>0</v>
      </c>
      <c r="I57" s="29" t="s">
        <v>213</v>
      </c>
      <c r="J57" s="29" t="s">
        <v>213</v>
      </c>
      <c r="K57" s="29">
        <v>0</v>
      </c>
      <c r="L57" s="29"/>
      <c r="M57" s="37">
        <f>R57*Summary!$H$27</f>
        <v>0</v>
      </c>
      <c r="N57" s="37">
        <f>S57*Summary!$H$25</f>
        <v>0</v>
      </c>
      <c r="O57" s="26">
        <f>VLOOKUP(J57,'List Data'!A$2:C$94,3,0)</f>
        <v>0</v>
      </c>
      <c r="P57" s="26" t="str">
        <f>VLOOKUP(J57,'List Data'!A$2:B$94,2,0)</f>
        <v>--------</v>
      </c>
      <c r="Q57" s="26">
        <f t="shared" si="0"/>
        <v>0</v>
      </c>
      <c r="R57" s="26">
        <f t="shared" si="1"/>
        <v>0</v>
      </c>
      <c r="S57" s="26">
        <f t="shared" si="2"/>
        <v>0</v>
      </c>
      <c r="T57" s="26">
        <f>(IF(AND((O57="OP"),(I57="Child (0-7 years)")),VLOOKUP(K57,'OP Values'!$A$1:$Q$35,7),))*H57</f>
        <v>0</v>
      </c>
      <c r="U57" s="26">
        <f>(IF(O57="OP",VLOOKUP($Q57,'OP Values'!$A$1:$Q$35,17),))*H57</f>
        <v>0</v>
      </c>
      <c r="V57" s="26">
        <f>(IF(AND((O57="Pb"),(I57="Child (0-7 years)")),(VLOOKUP(Q57,Pb!$A$1:$AV$103,7)),0))*H57</f>
        <v>0</v>
      </c>
      <c r="W57" s="26">
        <f>(IF(AND((O57="Pb"),(I57="Child (0-7 years)")),(VLOOKUP(Q57,Pb!$C$2:$AV$103,20)),0))*H57</f>
        <v>0</v>
      </c>
      <c r="X57" s="26">
        <f>(IF(AND((O57="Pb"),(I57="Adult (&gt; 15 years)")),(VLOOKUP(Q57,Pb!$A$2:$AV$103,46)),0))*H57</f>
        <v>0</v>
      </c>
      <c r="Y57" s="26">
        <f>(IF(AND((O57="Hg"),(I57="Child (0-7 years)")),(VLOOKUP(Q57,'Hg Values'!$A$1:$M$30,3)),0))*H57</f>
        <v>0</v>
      </c>
      <c r="Z57" s="26">
        <f>(IF(AND((O57="Hg"),(I57="Child (0-7 years)")),(VLOOKUP(Q57,'Hg Values'!$A$1:$M$30,13)),0))*H57</f>
        <v>0</v>
      </c>
      <c r="AA57" s="5">
        <f>(((IF(AND((O57="CA"),(I57="Adult (&gt; 15 years)")),((Q57*1)/70)*(VLOOKUP(J57,CA_ingestion!A$1:J$78,4,0)),0))))/11</f>
        <v>0</v>
      </c>
      <c r="AB57" s="5">
        <f t="shared" si="3"/>
        <v>0</v>
      </c>
      <c r="AC57" s="5">
        <f>((IF(AND((O57="CA"),(I57="Adult (&gt; 15 years)")),(AB57*(VLOOKUP(J57,CA_ingestion!A$1:J$78,10,0))),0)))</f>
        <v>0</v>
      </c>
      <c r="AD57" s="5">
        <f t="shared" si="4"/>
        <v>0</v>
      </c>
      <c r="AE57" s="5">
        <f t="shared" si="5"/>
        <v>0</v>
      </c>
    </row>
    <row r="58" spans="1:31" ht="15.5">
      <c r="A58" s="29" t="s">
        <v>283</v>
      </c>
      <c r="B58" s="29">
        <v>0</v>
      </c>
      <c r="C58" s="29"/>
      <c r="D58" s="29"/>
      <c r="E58" s="26" t="str">
        <f>Summary!C$23</f>
        <v>Afghanistan</v>
      </c>
      <c r="F58" s="29"/>
      <c r="G58" s="29" t="s">
        <v>369</v>
      </c>
      <c r="H58" s="33">
        <f>VLOOKUP(G58,'List Data'!$A$100:$B$104,2,0)</f>
        <v>0</v>
      </c>
      <c r="I58" s="29" t="s">
        <v>213</v>
      </c>
      <c r="J58" s="29" t="s">
        <v>213</v>
      </c>
      <c r="K58" s="29">
        <v>0</v>
      </c>
      <c r="L58" s="29"/>
      <c r="M58" s="37">
        <f>R58*Summary!$H$27</f>
        <v>0</v>
      </c>
      <c r="N58" s="37">
        <f>S58*Summary!$H$25</f>
        <v>0</v>
      </c>
      <c r="O58" s="26">
        <f>VLOOKUP(J58,'List Data'!A$2:C$94,3,0)</f>
        <v>0</v>
      </c>
      <c r="P58" s="26" t="str">
        <f>VLOOKUP(J58,'List Data'!A$2:B$94,2,0)</f>
        <v>--------</v>
      </c>
      <c r="Q58" s="26">
        <f t="shared" si="0"/>
        <v>0</v>
      </c>
      <c r="R58" s="26">
        <f t="shared" si="1"/>
        <v>0</v>
      </c>
      <c r="S58" s="26">
        <f t="shared" si="2"/>
        <v>0</v>
      </c>
      <c r="T58" s="26">
        <f>(IF(AND((O58="OP"),(I58="Child (0-7 years)")),VLOOKUP(K58,'OP Values'!$A$1:$Q$35,7),))*H58</f>
        <v>0</v>
      </c>
      <c r="U58" s="26">
        <f>(IF(O58="OP",VLOOKUP($Q58,'OP Values'!$A$1:$Q$35,17),))*H58</f>
        <v>0</v>
      </c>
      <c r="V58" s="26">
        <f>(IF(AND((O58="Pb"),(I58="Child (0-7 years)")),(VLOOKUP(Q58,Pb!$A$1:$AV$103,7)),0))*H58</f>
        <v>0</v>
      </c>
      <c r="W58" s="26">
        <f>(IF(AND((O58="Pb"),(I58="Child (0-7 years)")),(VLOOKUP(Q58,Pb!$C$2:$AV$103,20)),0))*H58</f>
        <v>0</v>
      </c>
      <c r="X58" s="26">
        <f>(IF(AND((O58="Pb"),(I58="Adult (&gt; 15 years)")),(VLOOKUP(Q58,Pb!$A$2:$AV$103,46)),0))*H58</f>
        <v>0</v>
      </c>
      <c r="Y58" s="26">
        <f>(IF(AND((O58="Hg"),(I58="Child (0-7 years)")),(VLOOKUP(Q58,'Hg Values'!$A$1:$M$30,3)),0))*H58</f>
        <v>0</v>
      </c>
      <c r="Z58" s="26">
        <f>(IF(AND((O58="Hg"),(I58="Child (0-7 years)")),(VLOOKUP(Q58,'Hg Values'!$A$1:$M$30,13)),0))*H58</f>
        <v>0</v>
      </c>
      <c r="AA58" s="5">
        <f>(((IF(AND((O58="CA"),(I58="Adult (&gt; 15 years)")),((Q58*1)/70)*(VLOOKUP(J58,CA_ingestion!A$1:J$78,4,0)),0))))/11</f>
        <v>0</v>
      </c>
      <c r="AB58" s="5">
        <f t="shared" si="3"/>
        <v>0</v>
      </c>
      <c r="AC58" s="5">
        <f>((IF(AND((O58="CA"),(I58="Adult (&gt; 15 years)")),(AB58*(VLOOKUP(J58,CA_ingestion!A$1:J$78,10,0))),0)))</f>
        <v>0</v>
      </c>
      <c r="AD58" s="5">
        <f t="shared" si="4"/>
        <v>0</v>
      </c>
      <c r="AE58" s="5">
        <f t="shared" si="5"/>
        <v>0</v>
      </c>
    </row>
    <row r="59" spans="1:31" ht="15.5">
      <c r="A59" s="29" t="s">
        <v>283</v>
      </c>
      <c r="B59" s="29">
        <v>0</v>
      </c>
      <c r="C59" s="29"/>
      <c r="D59" s="29"/>
      <c r="E59" s="26" t="str">
        <f>Summary!C$23</f>
        <v>Afghanistan</v>
      </c>
      <c r="F59" s="29"/>
      <c r="G59" s="29" t="s">
        <v>369</v>
      </c>
      <c r="H59" s="33">
        <f>VLOOKUP(G59,'List Data'!$A$100:$B$104,2,0)</f>
        <v>0</v>
      </c>
      <c r="I59" s="29" t="s">
        <v>213</v>
      </c>
      <c r="J59" s="29" t="s">
        <v>213</v>
      </c>
      <c r="K59" s="29">
        <v>0</v>
      </c>
      <c r="L59" s="29"/>
      <c r="M59" s="37">
        <f>R59*Summary!$H$27</f>
        <v>0</v>
      </c>
      <c r="N59" s="37">
        <f>S59*Summary!$H$25</f>
        <v>0</v>
      </c>
      <c r="O59" s="26">
        <f>VLOOKUP(J59,'List Data'!A$2:C$94,3,0)</f>
        <v>0</v>
      </c>
      <c r="P59" s="26" t="str">
        <f>VLOOKUP(J59,'List Data'!A$2:B$94,2,0)</f>
        <v>--------</v>
      </c>
      <c r="Q59" s="26">
        <f t="shared" si="0"/>
        <v>0</v>
      </c>
      <c r="R59" s="26">
        <f t="shared" si="1"/>
        <v>0</v>
      </c>
      <c r="S59" s="26">
        <f t="shared" si="2"/>
        <v>0</v>
      </c>
      <c r="T59" s="26">
        <f>(IF(AND((O59="OP"),(I59="Child (0-7 years)")),VLOOKUP(K59,'OP Values'!$A$1:$Q$35,7),))*H59</f>
        <v>0</v>
      </c>
      <c r="U59" s="26">
        <f>(IF(O59="OP",VLOOKUP($Q59,'OP Values'!$A$1:$Q$35,17),))*H59</f>
        <v>0</v>
      </c>
      <c r="V59" s="26">
        <f>(IF(AND((O59="Pb"),(I59="Child (0-7 years)")),(VLOOKUP(Q59,Pb!$A$1:$AV$103,7)),0))*H59</f>
        <v>0</v>
      </c>
      <c r="W59" s="26">
        <f>(IF(AND((O59="Pb"),(I59="Child (0-7 years)")),(VLOOKUP(Q59,Pb!$C$2:$AV$103,20)),0))*H59</f>
        <v>0</v>
      </c>
      <c r="X59" s="26">
        <f>(IF(AND((O59="Pb"),(I59="Adult (&gt; 15 years)")),(VLOOKUP(Q59,Pb!$A$2:$AV$103,46)),0))*H59</f>
        <v>0</v>
      </c>
      <c r="Y59" s="26">
        <f>(IF(AND((O59="Hg"),(I59="Child (0-7 years)")),(VLOOKUP(Q59,'Hg Values'!$A$1:$M$30,3)),0))*H59</f>
        <v>0</v>
      </c>
      <c r="Z59" s="26">
        <f>(IF(AND((O59="Hg"),(I59="Child (0-7 years)")),(VLOOKUP(Q59,'Hg Values'!$A$1:$M$30,13)),0))*H59</f>
        <v>0</v>
      </c>
      <c r="AA59" s="5">
        <f>(((IF(AND((O59="CA"),(I59="Adult (&gt; 15 years)")),((Q59*1)/70)*(VLOOKUP(J59,CA_ingestion!A$1:J$78,4,0)),0))))/11</f>
        <v>0</v>
      </c>
      <c r="AB59" s="5">
        <f t="shared" si="3"/>
        <v>0</v>
      </c>
      <c r="AC59" s="5">
        <f>((IF(AND((O59="CA"),(I59="Adult (&gt; 15 years)")),(AB59*(VLOOKUP(J59,CA_ingestion!A$1:J$78,10,0))),0)))</f>
        <v>0</v>
      </c>
      <c r="AD59" s="5">
        <f t="shared" si="4"/>
        <v>0</v>
      </c>
      <c r="AE59" s="5">
        <f t="shared" si="5"/>
        <v>0</v>
      </c>
    </row>
    <row r="60" spans="1:31" ht="15.5">
      <c r="A60" s="29" t="s">
        <v>283</v>
      </c>
      <c r="B60" s="29">
        <v>0</v>
      </c>
      <c r="C60" s="29"/>
      <c r="D60" s="29"/>
      <c r="E60" s="26" t="str">
        <f>Summary!C$23</f>
        <v>Afghanistan</v>
      </c>
      <c r="F60" s="29"/>
      <c r="G60" s="29" t="s">
        <v>369</v>
      </c>
      <c r="H60" s="33">
        <f>VLOOKUP(G60,'List Data'!$A$100:$B$104,2,0)</f>
        <v>0</v>
      </c>
      <c r="I60" s="29" t="s">
        <v>213</v>
      </c>
      <c r="J60" s="29" t="s">
        <v>213</v>
      </c>
      <c r="K60" s="29">
        <v>0</v>
      </c>
      <c r="L60" s="29"/>
      <c r="M60" s="37">
        <f>R60*Summary!$H$27</f>
        <v>0</v>
      </c>
      <c r="N60" s="37">
        <f>S60*Summary!$H$25</f>
        <v>0</v>
      </c>
      <c r="O60" s="26">
        <f>VLOOKUP(J60,'List Data'!A$2:C$94,3,0)</f>
        <v>0</v>
      </c>
      <c r="P60" s="26" t="str">
        <f>VLOOKUP(J60,'List Data'!A$2:B$94,2,0)</f>
        <v>--------</v>
      </c>
      <c r="Q60" s="26">
        <f t="shared" si="0"/>
        <v>0</v>
      </c>
      <c r="R60" s="26">
        <f t="shared" si="1"/>
        <v>0</v>
      </c>
      <c r="S60" s="26">
        <f t="shared" si="2"/>
        <v>0</v>
      </c>
      <c r="T60" s="26">
        <f>(IF(AND((O60="OP"),(I60="Child (0-7 years)")),VLOOKUP(K60,'OP Values'!$A$1:$Q$35,7),))*H60</f>
        <v>0</v>
      </c>
      <c r="U60" s="26">
        <f>(IF(O60="OP",VLOOKUP($Q60,'OP Values'!$A$1:$Q$35,17),))*H60</f>
        <v>0</v>
      </c>
      <c r="V60" s="26">
        <f>(IF(AND((O60="Pb"),(I60="Child (0-7 years)")),(VLOOKUP(Q60,Pb!$A$1:$AV$103,7)),0))*H60</f>
        <v>0</v>
      </c>
      <c r="W60" s="26">
        <f>(IF(AND((O60="Pb"),(I60="Child (0-7 years)")),(VLOOKUP(Q60,Pb!$C$2:$AV$103,20)),0))*H60</f>
        <v>0</v>
      </c>
      <c r="X60" s="26">
        <f>(IF(AND((O60="Pb"),(I60="Adult (&gt; 15 years)")),(VLOOKUP(Q60,Pb!$A$2:$AV$103,46)),0))*H60</f>
        <v>0</v>
      </c>
      <c r="Y60" s="26">
        <f>(IF(AND((O60="Hg"),(I60="Child (0-7 years)")),(VLOOKUP(Q60,'Hg Values'!$A$1:$M$30,3)),0))*H60</f>
        <v>0</v>
      </c>
      <c r="Z60" s="26">
        <f>(IF(AND((O60="Hg"),(I60="Child (0-7 years)")),(VLOOKUP(Q60,'Hg Values'!$A$1:$M$30,13)),0))*H60</f>
        <v>0</v>
      </c>
      <c r="AA60" s="5">
        <f>(((IF(AND((O60="CA"),(I60="Adult (&gt; 15 years)")),((Q60*1)/70)*(VLOOKUP(J60,CA_ingestion!A$1:J$78,4,0)),0))))/11</f>
        <v>0</v>
      </c>
      <c r="AB60" s="5">
        <f t="shared" si="3"/>
        <v>0</v>
      </c>
      <c r="AC60" s="5">
        <f>((IF(AND((O60="CA"),(I60="Adult (&gt; 15 years)")),(AB60*(VLOOKUP(J60,CA_ingestion!A$1:J$78,10,0))),0)))</f>
        <v>0</v>
      </c>
      <c r="AD60" s="5">
        <f t="shared" si="4"/>
        <v>0</v>
      </c>
      <c r="AE60" s="5">
        <f t="shared" si="5"/>
        <v>0</v>
      </c>
    </row>
    <row r="61" spans="1:31" ht="15.5">
      <c r="A61" s="29" t="s">
        <v>283</v>
      </c>
      <c r="B61" s="29">
        <v>0</v>
      </c>
      <c r="C61" s="29"/>
      <c r="D61" s="29"/>
      <c r="E61" s="26" t="str">
        <f>Summary!C$23</f>
        <v>Afghanistan</v>
      </c>
      <c r="F61" s="29"/>
      <c r="G61" s="29" t="s">
        <v>369</v>
      </c>
      <c r="H61" s="33">
        <f>VLOOKUP(G61,'List Data'!$A$100:$B$104,2,0)</f>
        <v>0</v>
      </c>
      <c r="I61" s="29" t="s">
        <v>213</v>
      </c>
      <c r="J61" s="29" t="s">
        <v>213</v>
      </c>
      <c r="K61" s="29">
        <v>0</v>
      </c>
      <c r="L61" s="29"/>
      <c r="M61" s="37">
        <f>R61*Summary!$H$27</f>
        <v>0</v>
      </c>
      <c r="N61" s="37">
        <f>S61*Summary!$H$25</f>
        <v>0</v>
      </c>
      <c r="O61" s="26">
        <f>VLOOKUP(J61,'List Data'!A$2:C$94,3,0)</f>
        <v>0</v>
      </c>
      <c r="P61" s="26" t="str">
        <f>VLOOKUP(J61,'List Data'!A$2:B$94,2,0)</f>
        <v>--------</v>
      </c>
      <c r="Q61" s="26">
        <f t="shared" si="0"/>
        <v>0</v>
      </c>
      <c r="R61" s="26">
        <f t="shared" si="1"/>
        <v>0</v>
      </c>
      <c r="S61" s="26">
        <f t="shared" si="2"/>
        <v>0</v>
      </c>
      <c r="T61" s="26">
        <f>(IF(AND((O61="OP"),(I61="Child (0-7 years)")),VLOOKUP(K61,'OP Values'!$A$1:$Q$35,7),))*H61</f>
        <v>0</v>
      </c>
      <c r="U61" s="26">
        <f>(IF(O61="OP",VLOOKUP($Q61,'OP Values'!$A$1:$Q$35,17),))*H61</f>
        <v>0</v>
      </c>
      <c r="V61" s="26">
        <f>(IF(AND((O61="Pb"),(I61="Child (0-7 years)")),(VLOOKUP(Q61,Pb!$A$1:$AV$103,7)),0))*H61</f>
        <v>0</v>
      </c>
      <c r="W61" s="26">
        <f>(IF(AND((O61="Pb"),(I61="Child (0-7 years)")),(VLOOKUP(Q61,Pb!$C$2:$AV$103,20)),0))*H61</f>
        <v>0</v>
      </c>
      <c r="X61" s="26">
        <f>(IF(AND((O61="Pb"),(I61="Adult (&gt; 15 years)")),(VLOOKUP(Q61,Pb!$A$2:$AV$103,46)),0))*H61</f>
        <v>0</v>
      </c>
      <c r="Y61" s="26">
        <f>(IF(AND((O61="Hg"),(I61="Child (0-7 years)")),(VLOOKUP(Q61,'Hg Values'!$A$1:$M$30,3)),0))*H61</f>
        <v>0</v>
      </c>
      <c r="Z61" s="26">
        <f>(IF(AND((O61="Hg"),(I61="Child (0-7 years)")),(VLOOKUP(Q61,'Hg Values'!$A$1:$M$30,13)),0))*H61</f>
        <v>0</v>
      </c>
      <c r="AA61" s="5">
        <f>(((IF(AND((O61="CA"),(I61="Adult (&gt; 15 years)")),((Q61*1)/70)*(VLOOKUP(J61,CA_ingestion!A$1:J$78,4,0)),0))))/11</f>
        <v>0</v>
      </c>
      <c r="AB61" s="5">
        <f t="shared" si="3"/>
        <v>0</v>
      </c>
      <c r="AC61" s="5">
        <f>((IF(AND((O61="CA"),(I61="Adult (&gt; 15 years)")),(AB61*(VLOOKUP(J61,CA_ingestion!A$1:J$78,10,0))),0)))</f>
        <v>0</v>
      </c>
      <c r="AD61" s="5">
        <f t="shared" si="4"/>
        <v>0</v>
      </c>
      <c r="AE61" s="5">
        <f t="shared" si="5"/>
        <v>0</v>
      </c>
    </row>
    <row r="62" spans="1:31" ht="15.5">
      <c r="A62" s="29" t="s">
        <v>283</v>
      </c>
      <c r="B62" s="29">
        <v>0</v>
      </c>
      <c r="C62" s="29"/>
      <c r="D62" s="29"/>
      <c r="E62" s="26" t="str">
        <f>Summary!C$23</f>
        <v>Afghanistan</v>
      </c>
      <c r="F62" s="29"/>
      <c r="G62" s="29" t="s">
        <v>369</v>
      </c>
      <c r="H62" s="33">
        <f>VLOOKUP(G62,'List Data'!$A$100:$B$104,2,0)</f>
        <v>0</v>
      </c>
      <c r="I62" s="29" t="s">
        <v>213</v>
      </c>
      <c r="J62" s="29" t="s">
        <v>213</v>
      </c>
      <c r="K62" s="29">
        <v>0</v>
      </c>
      <c r="L62" s="29"/>
      <c r="M62" s="37">
        <f>R62*Summary!$H$27</f>
        <v>0</v>
      </c>
      <c r="N62" s="37">
        <f>S62*Summary!$H$25</f>
        <v>0</v>
      </c>
      <c r="O62" s="26">
        <f>VLOOKUP(J62,'List Data'!A$2:C$94,3,0)</f>
        <v>0</v>
      </c>
      <c r="P62" s="26" t="str">
        <f>VLOOKUP(J62,'List Data'!A$2:B$94,2,0)</f>
        <v>--------</v>
      </c>
      <c r="Q62" s="26">
        <f t="shared" si="0"/>
        <v>0</v>
      </c>
      <c r="R62" s="26">
        <f t="shared" si="1"/>
        <v>0</v>
      </c>
      <c r="S62" s="26">
        <f t="shared" si="2"/>
        <v>0</v>
      </c>
      <c r="T62" s="26">
        <f>(IF(AND((O62="OP"),(I62="Child (0-7 years)")),VLOOKUP(K62,'OP Values'!$A$1:$Q$35,7),))*H62</f>
        <v>0</v>
      </c>
      <c r="U62" s="26">
        <f>(IF(O62="OP",VLOOKUP($Q62,'OP Values'!$A$1:$Q$35,17),))*H62</f>
        <v>0</v>
      </c>
      <c r="V62" s="26">
        <f>(IF(AND((O62="Pb"),(I62="Child (0-7 years)")),(VLOOKUP(Q62,Pb!$A$1:$AV$103,7)),0))*H62</f>
        <v>0</v>
      </c>
      <c r="W62" s="26">
        <f>(IF(AND((O62="Pb"),(I62="Child (0-7 years)")),(VLOOKUP(Q62,Pb!$C$2:$AV$103,20)),0))*H62</f>
        <v>0</v>
      </c>
      <c r="X62" s="26">
        <f>(IF(AND((O62="Pb"),(I62="Adult (&gt; 15 years)")),(VLOOKUP(Q62,Pb!$A$2:$AV$103,46)),0))*H62</f>
        <v>0</v>
      </c>
      <c r="Y62" s="26">
        <f>(IF(AND((O62="Hg"),(I62="Child (0-7 years)")),(VLOOKUP(Q62,'Hg Values'!$A$1:$M$30,3)),0))*H62</f>
        <v>0</v>
      </c>
      <c r="Z62" s="26">
        <f>(IF(AND((O62="Hg"),(I62="Child (0-7 years)")),(VLOOKUP(Q62,'Hg Values'!$A$1:$M$30,13)),0))*H62</f>
        <v>0</v>
      </c>
      <c r="AA62" s="5">
        <f>(((IF(AND((O62="CA"),(I62="Adult (&gt; 15 years)")),((Q62*1)/70)*(VLOOKUP(J62,CA_ingestion!A$1:J$78,4,0)),0))))/11</f>
        <v>0</v>
      </c>
      <c r="AB62" s="5">
        <f t="shared" si="3"/>
        <v>0</v>
      </c>
      <c r="AC62" s="5">
        <f>((IF(AND((O62="CA"),(I62="Adult (&gt; 15 years)")),(AB62*(VLOOKUP(J62,CA_ingestion!A$1:J$78,10,0))),0)))</f>
        <v>0</v>
      </c>
      <c r="AD62" s="5">
        <f t="shared" si="4"/>
        <v>0</v>
      </c>
      <c r="AE62" s="5">
        <f t="shared" si="5"/>
        <v>0</v>
      </c>
    </row>
    <row r="63" spans="1:31" ht="15.5">
      <c r="A63" s="29" t="s">
        <v>283</v>
      </c>
      <c r="B63" s="29">
        <v>0</v>
      </c>
      <c r="C63" s="29"/>
      <c r="D63" s="29"/>
      <c r="E63" s="26" t="str">
        <f>Summary!C$23</f>
        <v>Afghanistan</v>
      </c>
      <c r="F63" s="29"/>
      <c r="G63" s="29" t="s">
        <v>369</v>
      </c>
      <c r="H63" s="33">
        <f>VLOOKUP(G63,'List Data'!$A$100:$B$104,2,0)</f>
        <v>0</v>
      </c>
      <c r="I63" s="29" t="s">
        <v>213</v>
      </c>
      <c r="J63" s="29" t="s">
        <v>213</v>
      </c>
      <c r="K63" s="29">
        <v>0</v>
      </c>
      <c r="L63" s="29"/>
      <c r="M63" s="37">
        <f>R63*Summary!$H$27</f>
        <v>0</v>
      </c>
      <c r="N63" s="37">
        <f>S63*Summary!$H$25</f>
        <v>0</v>
      </c>
      <c r="O63" s="26">
        <f>VLOOKUP(J63,'List Data'!A$2:C$94,3,0)</f>
        <v>0</v>
      </c>
      <c r="P63" s="26" t="str">
        <f>VLOOKUP(J63,'List Data'!A$2:B$94,2,0)</f>
        <v>--------</v>
      </c>
      <c r="Q63" s="26">
        <f t="shared" si="0"/>
        <v>0</v>
      </c>
      <c r="R63" s="26">
        <f t="shared" si="1"/>
        <v>0</v>
      </c>
      <c r="S63" s="26">
        <f t="shared" si="2"/>
        <v>0</v>
      </c>
      <c r="T63" s="26">
        <f>(IF(AND((O63="OP"),(I63="Child (0-7 years)")),VLOOKUP(K63,'OP Values'!$A$1:$Q$35,7),))*H63</f>
        <v>0</v>
      </c>
      <c r="U63" s="26">
        <f>(IF(O63="OP",VLOOKUP($Q63,'OP Values'!$A$1:$Q$35,17),))*H63</f>
        <v>0</v>
      </c>
      <c r="V63" s="26">
        <f>(IF(AND((O63="Pb"),(I63="Child (0-7 years)")),(VLOOKUP(Q63,Pb!$A$1:$AV$103,7)),0))*H63</f>
        <v>0</v>
      </c>
      <c r="W63" s="26">
        <f>(IF(AND((O63="Pb"),(I63="Child (0-7 years)")),(VLOOKUP(Q63,Pb!$C$2:$AV$103,20)),0))*H63</f>
        <v>0</v>
      </c>
      <c r="X63" s="26">
        <f>(IF(AND((O63="Pb"),(I63="Adult (&gt; 15 years)")),(VLOOKUP(Q63,Pb!$A$2:$AV$103,46)),0))*H63</f>
        <v>0</v>
      </c>
      <c r="Y63" s="26">
        <f>(IF(AND((O63="Hg"),(I63="Child (0-7 years)")),(VLOOKUP(Q63,'Hg Values'!$A$1:$M$30,3)),0))*H63</f>
        <v>0</v>
      </c>
      <c r="Z63" s="26">
        <f>(IF(AND((O63="Hg"),(I63="Child (0-7 years)")),(VLOOKUP(Q63,'Hg Values'!$A$1:$M$30,13)),0))*H63</f>
        <v>0</v>
      </c>
      <c r="AA63" s="5">
        <f>(((IF(AND((O63="CA"),(I63="Adult (&gt; 15 years)")),((Q63*1)/70)*(VLOOKUP(J63,CA_ingestion!A$1:J$78,4,0)),0))))/11</f>
        <v>0</v>
      </c>
      <c r="AB63" s="5">
        <f t="shared" si="3"/>
        <v>0</v>
      </c>
      <c r="AC63" s="5">
        <f>((IF(AND((O63="CA"),(I63="Adult (&gt; 15 years)")),(AB63*(VLOOKUP(J63,CA_ingestion!A$1:J$78,10,0))),0)))</f>
        <v>0</v>
      </c>
      <c r="AD63" s="5">
        <f t="shared" si="4"/>
        <v>0</v>
      </c>
      <c r="AE63" s="5">
        <f t="shared" si="5"/>
        <v>0</v>
      </c>
    </row>
    <row r="64" spans="1:31" ht="15.5">
      <c r="A64" s="29" t="s">
        <v>283</v>
      </c>
      <c r="B64" s="29">
        <v>0</v>
      </c>
      <c r="C64" s="29"/>
      <c r="D64" s="29"/>
      <c r="E64" s="26" t="str">
        <f>Summary!C$23</f>
        <v>Afghanistan</v>
      </c>
      <c r="F64" s="29"/>
      <c r="G64" s="29" t="s">
        <v>369</v>
      </c>
      <c r="H64" s="33">
        <f>VLOOKUP(G64,'List Data'!$A$100:$B$104,2,0)</f>
        <v>0</v>
      </c>
      <c r="I64" s="29" t="s">
        <v>213</v>
      </c>
      <c r="J64" s="29" t="s">
        <v>213</v>
      </c>
      <c r="K64" s="29">
        <v>0</v>
      </c>
      <c r="L64" s="29"/>
      <c r="M64" s="37">
        <f>R64*Summary!$H$27</f>
        <v>0</v>
      </c>
      <c r="N64" s="37">
        <f>S64*Summary!$H$25</f>
        <v>0</v>
      </c>
      <c r="O64" s="26">
        <f>VLOOKUP(J64,'List Data'!A$2:C$94,3,0)</f>
        <v>0</v>
      </c>
      <c r="P64" s="26" t="str">
        <f>VLOOKUP(J64,'List Data'!A$2:B$94,2,0)</f>
        <v>--------</v>
      </c>
      <c r="Q64" s="26">
        <f t="shared" si="0"/>
        <v>0</v>
      </c>
      <c r="R64" s="26">
        <f t="shared" si="1"/>
        <v>0</v>
      </c>
      <c r="S64" s="26">
        <f t="shared" si="2"/>
        <v>0</v>
      </c>
      <c r="T64" s="26">
        <f>(IF(AND((O64="OP"),(I64="Child (0-7 years)")),VLOOKUP(K64,'OP Values'!$A$1:$Q$35,7),))*H64</f>
        <v>0</v>
      </c>
      <c r="U64" s="26">
        <f>(IF(O64="OP",VLOOKUP($Q64,'OP Values'!$A$1:$Q$35,17),))*H64</f>
        <v>0</v>
      </c>
      <c r="V64" s="26">
        <f>(IF(AND((O64="Pb"),(I64="Child (0-7 years)")),(VLOOKUP(Q64,Pb!$A$1:$AV$103,7)),0))*H64</f>
        <v>0</v>
      </c>
      <c r="W64" s="26">
        <f>(IF(AND((O64="Pb"),(I64="Child (0-7 years)")),(VLOOKUP(Q64,Pb!$C$2:$AV$103,20)),0))*H64</f>
        <v>0</v>
      </c>
      <c r="X64" s="26">
        <f>(IF(AND((O64="Pb"),(I64="Adult (&gt; 15 years)")),(VLOOKUP(Q64,Pb!$A$2:$AV$103,46)),0))*H64</f>
        <v>0</v>
      </c>
      <c r="Y64" s="26">
        <f>(IF(AND((O64="Hg"),(I64="Child (0-7 years)")),(VLOOKUP(Q64,'Hg Values'!$A$1:$M$30,3)),0))*H64</f>
        <v>0</v>
      </c>
      <c r="Z64" s="26">
        <f>(IF(AND((O64="Hg"),(I64="Child (0-7 years)")),(VLOOKUP(Q64,'Hg Values'!$A$1:$M$30,13)),0))*H64</f>
        <v>0</v>
      </c>
      <c r="AA64" s="5">
        <f>(((IF(AND((O64="CA"),(I64="Adult (&gt; 15 years)")),((Q64*1)/70)*(VLOOKUP(J64,CA_ingestion!A$1:J$78,4,0)),0))))/11</f>
        <v>0</v>
      </c>
      <c r="AB64" s="5">
        <f t="shared" si="3"/>
        <v>0</v>
      </c>
      <c r="AC64" s="5">
        <f>((IF(AND((O64="CA"),(I64="Adult (&gt; 15 years)")),(AB64*(VLOOKUP(J64,CA_ingestion!A$1:J$78,10,0))),0)))</f>
        <v>0</v>
      </c>
      <c r="AD64" s="5">
        <f t="shared" si="4"/>
        <v>0</v>
      </c>
      <c r="AE64" s="5">
        <f t="shared" si="5"/>
        <v>0</v>
      </c>
    </row>
    <row r="65" spans="1:31" ht="15.5">
      <c r="A65" s="29" t="s">
        <v>283</v>
      </c>
      <c r="B65" s="29">
        <v>0</v>
      </c>
      <c r="C65" s="29"/>
      <c r="D65" s="29"/>
      <c r="E65" s="26" t="str">
        <f>Summary!C$23</f>
        <v>Afghanistan</v>
      </c>
      <c r="F65" s="29"/>
      <c r="G65" s="29" t="s">
        <v>369</v>
      </c>
      <c r="H65" s="33">
        <f>VLOOKUP(G65,'List Data'!$A$100:$B$104,2,0)</f>
        <v>0</v>
      </c>
      <c r="I65" s="29" t="s">
        <v>213</v>
      </c>
      <c r="J65" s="29" t="s">
        <v>213</v>
      </c>
      <c r="K65" s="29">
        <v>0</v>
      </c>
      <c r="L65" s="29"/>
      <c r="M65" s="37">
        <f>R65*Summary!$H$27</f>
        <v>0</v>
      </c>
      <c r="N65" s="37">
        <f>S65*Summary!$H$25</f>
        <v>0</v>
      </c>
      <c r="O65" s="26">
        <f>VLOOKUP(J65,'List Data'!A$2:C$94,3,0)</f>
        <v>0</v>
      </c>
      <c r="P65" s="26" t="str">
        <f>VLOOKUP(J65,'List Data'!A$2:B$94,2,0)</f>
        <v>--------</v>
      </c>
      <c r="Q65" s="26">
        <f t="shared" si="0"/>
        <v>0</v>
      </c>
      <c r="R65" s="26">
        <f t="shared" si="1"/>
        <v>0</v>
      </c>
      <c r="S65" s="26">
        <f t="shared" si="2"/>
        <v>0</v>
      </c>
      <c r="T65" s="26">
        <f>(IF(AND((O65="OP"),(I65="Child (0-7 years)")),VLOOKUP(K65,'OP Values'!$A$1:$Q$35,7),))*H65</f>
        <v>0</v>
      </c>
      <c r="U65" s="26">
        <f>(IF(O65="OP",VLOOKUP($Q65,'OP Values'!$A$1:$Q$35,17),))*H65</f>
        <v>0</v>
      </c>
      <c r="V65" s="26">
        <f>(IF(AND((O65="Pb"),(I65="Child (0-7 years)")),(VLOOKUP(Q65,Pb!$A$1:$AV$103,7)),0))*H65</f>
        <v>0</v>
      </c>
      <c r="W65" s="26">
        <f>(IF(AND((O65="Pb"),(I65="Child (0-7 years)")),(VLOOKUP(Q65,Pb!$C$2:$AV$103,20)),0))*H65</f>
        <v>0</v>
      </c>
      <c r="X65" s="26">
        <f>(IF(AND((O65="Pb"),(I65="Adult (&gt; 15 years)")),(VLOOKUP(Q65,Pb!$A$2:$AV$103,46)),0))*H65</f>
        <v>0</v>
      </c>
      <c r="Y65" s="26">
        <f>(IF(AND((O65="Hg"),(I65="Child (0-7 years)")),(VLOOKUP(Q65,'Hg Values'!$A$1:$M$30,3)),0))*H65</f>
        <v>0</v>
      </c>
      <c r="Z65" s="26">
        <f>(IF(AND((O65="Hg"),(I65="Child (0-7 years)")),(VLOOKUP(Q65,'Hg Values'!$A$1:$M$30,13)),0))*H65</f>
        <v>0</v>
      </c>
      <c r="AA65" s="5">
        <f>(((IF(AND((O65="CA"),(I65="Adult (&gt; 15 years)")),((Q65*1)/70)*(VLOOKUP(J65,CA_ingestion!A$1:J$78,4,0)),0))))/11</f>
        <v>0</v>
      </c>
      <c r="AB65" s="5">
        <f t="shared" si="3"/>
        <v>0</v>
      </c>
      <c r="AC65" s="5">
        <f>((IF(AND((O65="CA"),(I65="Adult (&gt; 15 years)")),(AB65*(VLOOKUP(J65,CA_ingestion!A$1:J$78,10,0))),0)))</f>
        <v>0</v>
      </c>
      <c r="AD65" s="5">
        <f t="shared" si="4"/>
        <v>0</v>
      </c>
      <c r="AE65" s="5">
        <f t="shared" si="5"/>
        <v>0</v>
      </c>
    </row>
    <row r="66" spans="1:31" ht="15.5">
      <c r="A66" s="29" t="s">
        <v>283</v>
      </c>
      <c r="B66" s="29">
        <v>0</v>
      </c>
      <c r="C66" s="29"/>
      <c r="D66" s="29"/>
      <c r="E66" s="26" t="str">
        <f>Summary!C$23</f>
        <v>Afghanistan</v>
      </c>
      <c r="F66" s="29"/>
      <c r="G66" s="29" t="s">
        <v>369</v>
      </c>
      <c r="H66" s="33">
        <f>VLOOKUP(G66,'List Data'!$A$100:$B$104,2,0)</f>
        <v>0</v>
      </c>
      <c r="I66" s="29" t="s">
        <v>213</v>
      </c>
      <c r="J66" s="29" t="s">
        <v>213</v>
      </c>
      <c r="K66" s="29">
        <v>0</v>
      </c>
      <c r="L66" s="29"/>
      <c r="M66" s="37">
        <f>R66*Summary!$H$27</f>
        <v>0</v>
      </c>
      <c r="N66" s="37">
        <f>S66*Summary!$H$25</f>
        <v>0</v>
      </c>
      <c r="O66" s="26">
        <f>VLOOKUP(J66,'List Data'!A$2:C$94,3,0)</f>
        <v>0</v>
      </c>
      <c r="P66" s="26" t="str">
        <f>VLOOKUP(J66,'List Data'!A$2:B$94,2,0)</f>
        <v>--------</v>
      </c>
      <c r="Q66" s="26">
        <f t="shared" si="0"/>
        <v>0</v>
      </c>
      <c r="R66" s="26">
        <f t="shared" si="1"/>
        <v>0</v>
      </c>
      <c r="S66" s="26">
        <f t="shared" si="2"/>
        <v>0</v>
      </c>
      <c r="T66" s="26">
        <f>(IF(AND((O66="OP"),(I66="Child (0-7 years)")),VLOOKUP(K66,'OP Values'!$A$1:$Q$35,7),))*H66</f>
        <v>0</v>
      </c>
      <c r="U66" s="26">
        <f>(IF(O66="OP",VLOOKUP($Q66,'OP Values'!$A$1:$Q$35,17),))*H66</f>
        <v>0</v>
      </c>
      <c r="V66" s="26">
        <f>(IF(AND((O66="Pb"),(I66="Child (0-7 years)")),(VLOOKUP(Q66,Pb!$A$1:$AV$103,7)),0))*H66</f>
        <v>0</v>
      </c>
      <c r="W66" s="26">
        <f>(IF(AND((O66="Pb"),(I66="Child (0-7 years)")),(VLOOKUP(Q66,Pb!$C$2:$AV$103,20)),0))*H66</f>
        <v>0</v>
      </c>
      <c r="X66" s="26">
        <f>(IF(AND((O66="Pb"),(I66="Adult (&gt; 15 years)")),(VLOOKUP(Q66,Pb!$A$2:$AV$103,46)),0))*H66</f>
        <v>0</v>
      </c>
      <c r="Y66" s="26">
        <f>(IF(AND((O66="Hg"),(I66="Child (0-7 years)")),(VLOOKUP(Q66,'Hg Values'!$A$1:$M$30,3)),0))*H66</f>
        <v>0</v>
      </c>
      <c r="Z66" s="26">
        <f>(IF(AND((O66="Hg"),(I66="Child (0-7 years)")),(VLOOKUP(Q66,'Hg Values'!$A$1:$M$30,13)),0))*H66</f>
        <v>0</v>
      </c>
      <c r="AA66" s="5">
        <f>(((IF(AND((O66="CA"),(I66="Adult (&gt; 15 years)")),((Q66*1)/70)*(VLOOKUP(J66,CA_ingestion!A$1:J$78,4,0)),0))))/11</f>
        <v>0</v>
      </c>
      <c r="AB66" s="5">
        <f t="shared" si="3"/>
        <v>0</v>
      </c>
      <c r="AC66" s="5">
        <f>((IF(AND((O66="CA"),(I66="Adult (&gt; 15 years)")),(AB66*(VLOOKUP(J66,CA_ingestion!A$1:J$78,10,0))),0)))</f>
        <v>0</v>
      </c>
      <c r="AD66" s="5">
        <f t="shared" si="4"/>
        <v>0</v>
      </c>
      <c r="AE66" s="5">
        <f t="shared" si="5"/>
        <v>0</v>
      </c>
    </row>
    <row r="67" spans="1:31" ht="15.5">
      <c r="A67" s="29" t="s">
        <v>283</v>
      </c>
      <c r="B67" s="29">
        <v>0</v>
      </c>
      <c r="C67" s="29"/>
      <c r="D67" s="29"/>
      <c r="E67" s="26" t="str">
        <f>Summary!C$23</f>
        <v>Afghanistan</v>
      </c>
      <c r="F67" s="29"/>
      <c r="G67" s="29" t="s">
        <v>369</v>
      </c>
      <c r="H67" s="33">
        <f>VLOOKUP(G67,'List Data'!$A$100:$B$104,2,0)</f>
        <v>0</v>
      </c>
      <c r="I67" s="29" t="s">
        <v>213</v>
      </c>
      <c r="J67" s="29" t="s">
        <v>213</v>
      </c>
      <c r="K67" s="29">
        <v>0</v>
      </c>
      <c r="L67" s="29"/>
      <c r="M67" s="37">
        <f>R67*Summary!$H$27</f>
        <v>0</v>
      </c>
      <c r="N67" s="37">
        <f>S67*Summary!$H$25</f>
        <v>0</v>
      </c>
      <c r="O67" s="26">
        <f>VLOOKUP(J67,'List Data'!A$2:C$94,3,0)</f>
        <v>0</v>
      </c>
      <c r="P67" s="26" t="str">
        <f>VLOOKUP(J67,'List Data'!A$2:B$94,2,0)</f>
        <v>--------</v>
      </c>
      <c r="Q67" s="26">
        <f t="shared" si="0"/>
        <v>0</v>
      </c>
      <c r="R67" s="26">
        <f t="shared" si="1"/>
        <v>0</v>
      </c>
      <c r="S67" s="26">
        <f t="shared" si="2"/>
        <v>0</v>
      </c>
      <c r="T67" s="26">
        <f>(IF(AND((O67="OP"),(I67="Child (0-7 years)")),VLOOKUP(K67,'OP Values'!$A$1:$Q$35,7),))*H67</f>
        <v>0</v>
      </c>
      <c r="U67" s="26">
        <f>(IF(O67="OP",VLOOKUP($Q67,'OP Values'!$A$1:$Q$35,17),))*H67</f>
        <v>0</v>
      </c>
      <c r="V67" s="26">
        <f>(IF(AND((O67="Pb"),(I67="Child (0-7 years)")),(VLOOKUP(Q67,Pb!$A$1:$AV$103,7)),0))*H67</f>
        <v>0</v>
      </c>
      <c r="W67" s="26">
        <f>(IF(AND((O67="Pb"),(I67="Child (0-7 years)")),(VLOOKUP(Q67,Pb!$C$2:$AV$103,20)),0))*H67</f>
        <v>0</v>
      </c>
      <c r="X67" s="26">
        <f>(IF(AND((O67="Pb"),(I67="Adult (&gt; 15 years)")),(VLOOKUP(Q67,Pb!$A$2:$AV$103,46)),0))*H67</f>
        <v>0</v>
      </c>
      <c r="Y67" s="26">
        <f>(IF(AND((O67="Hg"),(I67="Child (0-7 years)")),(VLOOKUP(Q67,'Hg Values'!$A$1:$M$30,3)),0))*H67</f>
        <v>0</v>
      </c>
      <c r="Z67" s="26">
        <f>(IF(AND((O67="Hg"),(I67="Child (0-7 years)")),(VLOOKUP(Q67,'Hg Values'!$A$1:$M$30,13)),0))*H67</f>
        <v>0</v>
      </c>
      <c r="AA67" s="5">
        <f>(((IF(AND((O67="CA"),(I67="Adult (&gt; 15 years)")),((Q67*1)/70)*(VLOOKUP(J67,CA_ingestion!A$1:J$78,4,0)),0))))/11</f>
        <v>0</v>
      </c>
      <c r="AB67" s="5">
        <f t="shared" si="3"/>
        <v>0</v>
      </c>
      <c r="AC67" s="5">
        <f>((IF(AND((O67="CA"),(I67="Adult (&gt; 15 years)")),(AB67*(VLOOKUP(J67,CA_ingestion!A$1:J$78,10,0))),0)))</f>
        <v>0</v>
      </c>
      <c r="AD67" s="5">
        <f t="shared" si="4"/>
        <v>0</v>
      </c>
      <c r="AE67" s="5">
        <f t="shared" si="5"/>
        <v>0</v>
      </c>
    </row>
    <row r="68" spans="1:31" ht="15.5">
      <c r="A68" s="29" t="s">
        <v>283</v>
      </c>
      <c r="B68" s="29">
        <v>0</v>
      </c>
      <c r="C68" s="29"/>
      <c r="D68" s="29"/>
      <c r="E68" s="26" t="str">
        <f>Summary!C$23</f>
        <v>Afghanistan</v>
      </c>
      <c r="F68" s="29"/>
      <c r="G68" s="29" t="s">
        <v>369</v>
      </c>
      <c r="H68" s="33">
        <f>VLOOKUP(G68,'List Data'!$A$100:$B$104,2,0)</f>
        <v>0</v>
      </c>
      <c r="I68" s="29" t="s">
        <v>213</v>
      </c>
      <c r="J68" s="29" t="s">
        <v>213</v>
      </c>
      <c r="K68" s="29">
        <v>0</v>
      </c>
      <c r="L68" s="29"/>
      <c r="M68" s="37">
        <f>R68*Summary!$H$27</f>
        <v>0</v>
      </c>
      <c r="N68" s="37">
        <f>S68*Summary!$H$25</f>
        <v>0</v>
      </c>
      <c r="O68" s="26">
        <f>VLOOKUP(J68,'List Data'!A$2:C$94,3,0)</f>
        <v>0</v>
      </c>
      <c r="P68" s="26" t="str">
        <f>VLOOKUP(J68,'List Data'!A$2:B$94,2,0)</f>
        <v>--------</v>
      </c>
      <c r="Q68" s="26">
        <f t="shared" si="0"/>
        <v>0</v>
      </c>
      <c r="R68" s="26">
        <f t="shared" si="1"/>
        <v>0</v>
      </c>
      <c r="S68" s="26">
        <f t="shared" si="2"/>
        <v>0</v>
      </c>
      <c r="T68" s="26">
        <f>(IF(AND((O68="OP"),(I68="Child (0-7 years)")),VLOOKUP(K68,'OP Values'!$A$1:$Q$35,7),))*H68</f>
        <v>0</v>
      </c>
      <c r="U68" s="26">
        <f>(IF(O68="OP",VLOOKUP($Q68,'OP Values'!$A$1:$Q$35,17),))*H68</f>
        <v>0</v>
      </c>
      <c r="V68" s="26">
        <f>(IF(AND((O68="Pb"),(I68="Child (0-7 years)")),(VLOOKUP(Q68,Pb!$A$1:$AV$103,7)),0))*H68</f>
        <v>0</v>
      </c>
      <c r="W68" s="26">
        <f>(IF(AND((O68="Pb"),(I68="Child (0-7 years)")),(VLOOKUP(Q68,Pb!$C$2:$AV$103,20)),0))*H68</f>
        <v>0</v>
      </c>
      <c r="X68" s="26">
        <f>(IF(AND((O68="Pb"),(I68="Adult (&gt; 15 years)")),(VLOOKUP(Q68,Pb!$A$2:$AV$103,46)),0))*H68</f>
        <v>0</v>
      </c>
      <c r="Y68" s="26">
        <f>(IF(AND((O68="Hg"),(I68="Child (0-7 years)")),(VLOOKUP(Q68,'Hg Values'!$A$1:$M$30,3)),0))*H68</f>
        <v>0</v>
      </c>
      <c r="Z68" s="26">
        <f>(IF(AND((O68="Hg"),(I68="Child (0-7 years)")),(VLOOKUP(Q68,'Hg Values'!$A$1:$M$30,13)),0))*H68</f>
        <v>0</v>
      </c>
      <c r="AA68" s="5">
        <f>(((IF(AND((O68="CA"),(I68="Adult (&gt; 15 years)")),((Q68*1)/70)*(VLOOKUP(J68,CA_ingestion!A$1:J$78,4,0)),0))))/11</f>
        <v>0</v>
      </c>
      <c r="AB68" s="5">
        <f t="shared" si="3"/>
        <v>0</v>
      </c>
      <c r="AC68" s="5">
        <f>((IF(AND((O68="CA"),(I68="Adult (&gt; 15 years)")),(AB68*(VLOOKUP(J68,CA_ingestion!A$1:J$78,10,0))),0)))</f>
        <v>0</v>
      </c>
      <c r="AD68" s="5">
        <f t="shared" si="4"/>
        <v>0</v>
      </c>
      <c r="AE68" s="5">
        <f t="shared" si="5"/>
        <v>0</v>
      </c>
    </row>
    <row r="69" spans="1:31" ht="15.5">
      <c r="A69" s="29" t="s">
        <v>283</v>
      </c>
      <c r="B69" s="29">
        <v>0</v>
      </c>
      <c r="C69" s="29"/>
      <c r="D69" s="29"/>
      <c r="E69" s="26" t="str">
        <f>Summary!C$23</f>
        <v>Afghanistan</v>
      </c>
      <c r="F69" s="29"/>
      <c r="G69" s="29" t="s">
        <v>369</v>
      </c>
      <c r="H69" s="33">
        <f>VLOOKUP(G69,'List Data'!$A$100:$B$104,2,0)</f>
        <v>0</v>
      </c>
      <c r="I69" s="29" t="s">
        <v>213</v>
      </c>
      <c r="J69" s="29" t="s">
        <v>213</v>
      </c>
      <c r="K69" s="29">
        <v>0</v>
      </c>
      <c r="L69" s="29"/>
      <c r="M69" s="37">
        <f>R69*Summary!$H$27</f>
        <v>0</v>
      </c>
      <c r="N69" s="37">
        <f>S69*Summary!$H$25</f>
        <v>0</v>
      </c>
      <c r="O69" s="26">
        <f>VLOOKUP(J69,'List Data'!A$2:C$94,3,0)</f>
        <v>0</v>
      </c>
      <c r="P69" s="26" t="str">
        <f>VLOOKUP(J69,'List Data'!A$2:B$94,2,0)</f>
        <v>--------</v>
      </c>
      <c r="Q69" s="26">
        <f t="shared" si="0"/>
        <v>0</v>
      </c>
      <c r="R69" s="26">
        <f t="shared" si="1"/>
        <v>0</v>
      </c>
      <c r="S69" s="26">
        <f t="shared" si="2"/>
        <v>0</v>
      </c>
      <c r="T69" s="26">
        <f>(IF(AND((O69="OP"),(I69="Child (0-7 years)")),VLOOKUP(K69,'OP Values'!$A$1:$Q$35,7),))*H69</f>
        <v>0</v>
      </c>
      <c r="U69" s="26">
        <f>(IF(O69="OP",VLOOKUP($Q69,'OP Values'!$A$1:$Q$35,17),))*H69</f>
        <v>0</v>
      </c>
      <c r="V69" s="26">
        <f>(IF(AND((O69="Pb"),(I69="Child (0-7 years)")),(VLOOKUP(Q69,Pb!$A$1:$AV$103,7)),0))*H69</f>
        <v>0</v>
      </c>
      <c r="W69" s="26">
        <f>(IF(AND((O69="Pb"),(I69="Child (0-7 years)")),(VLOOKUP(Q69,Pb!$C$2:$AV$103,20)),0))*H69</f>
        <v>0</v>
      </c>
      <c r="X69" s="26">
        <f>(IF(AND((O69="Pb"),(I69="Adult (&gt; 15 years)")),(VLOOKUP(Q69,Pb!$A$2:$AV$103,46)),0))*H69</f>
        <v>0</v>
      </c>
      <c r="Y69" s="26">
        <f>(IF(AND((O69="Hg"),(I69="Child (0-7 years)")),(VLOOKUP(Q69,'Hg Values'!$A$1:$M$30,3)),0))*H69</f>
        <v>0</v>
      </c>
      <c r="Z69" s="26">
        <f>(IF(AND((O69="Hg"),(I69="Child (0-7 years)")),(VLOOKUP(Q69,'Hg Values'!$A$1:$M$30,13)),0))*H69</f>
        <v>0</v>
      </c>
      <c r="AA69" s="5">
        <f>(((IF(AND((O69="CA"),(I69="Adult (&gt; 15 years)")),((Q69*1)/70)*(VLOOKUP(J69,CA_ingestion!A$1:J$78,4,0)),0))))/11</f>
        <v>0</v>
      </c>
      <c r="AB69" s="5">
        <f t="shared" si="3"/>
        <v>0</v>
      </c>
      <c r="AC69" s="5">
        <f>((IF(AND((O69="CA"),(I69="Adult (&gt; 15 years)")),(AB69*(VLOOKUP(J69,CA_ingestion!A$1:J$78,10,0))),0)))</f>
        <v>0</v>
      </c>
      <c r="AD69" s="5">
        <f t="shared" si="4"/>
        <v>0</v>
      </c>
      <c r="AE69" s="5">
        <f t="shared" si="5"/>
        <v>0</v>
      </c>
    </row>
    <row r="70" spans="1:31" ht="15.5">
      <c r="A70" s="29" t="s">
        <v>283</v>
      </c>
      <c r="B70" s="29">
        <v>0</v>
      </c>
      <c r="C70" s="29"/>
      <c r="D70" s="29"/>
      <c r="E70" s="26" t="str">
        <f>Summary!C$23</f>
        <v>Afghanistan</v>
      </c>
      <c r="F70" s="29"/>
      <c r="G70" s="29" t="s">
        <v>369</v>
      </c>
      <c r="H70" s="33">
        <f>VLOOKUP(G70,'List Data'!$A$100:$B$104,2,0)</f>
        <v>0</v>
      </c>
      <c r="I70" s="29" t="s">
        <v>213</v>
      </c>
      <c r="J70" s="29" t="s">
        <v>213</v>
      </c>
      <c r="K70" s="29">
        <v>0</v>
      </c>
      <c r="L70" s="29"/>
      <c r="M70" s="37">
        <f>R70*Summary!$H$27</f>
        <v>0</v>
      </c>
      <c r="N70" s="37">
        <f>S70*Summary!$H$25</f>
        <v>0</v>
      </c>
      <c r="O70" s="26">
        <f>VLOOKUP(J70,'List Data'!A$2:C$94,3,0)</f>
        <v>0</v>
      </c>
      <c r="P70" s="26" t="str">
        <f>VLOOKUP(J70,'List Data'!A$2:B$94,2,0)</f>
        <v>--------</v>
      </c>
      <c r="Q70" s="26">
        <f t="shared" ref="Q70:Q104" si="6">K70*B70/1000</f>
        <v>0</v>
      </c>
      <c r="R70" s="26">
        <f t="shared" ref="R70:R104" si="7">T70+V70+Y70</f>
        <v>0</v>
      </c>
      <c r="S70" s="26">
        <f t="shared" ref="S70:S104" si="8">U70+W70+X70+Z70+AE70</f>
        <v>0</v>
      </c>
      <c r="T70" s="26">
        <f>(IF(AND((O70="OP"),(I70="Child (0-7 years)")),VLOOKUP(K70,'OP Values'!$A$1:$Q$35,7),))*H70</f>
        <v>0</v>
      </c>
      <c r="U70" s="26">
        <f>(IF(O70="OP",VLOOKUP($Q70,'OP Values'!$A$1:$Q$35,17),))*H70</f>
        <v>0</v>
      </c>
      <c r="V70" s="26">
        <f>(IF(AND((O70="Pb"),(I70="Child (0-7 years)")),(VLOOKUP(Q70,Pb!$A$1:$AV$103,7)),0))*H70</f>
        <v>0</v>
      </c>
      <c r="W70" s="26">
        <f>(IF(AND((O70="Pb"),(I70="Child (0-7 years)")),(VLOOKUP(Q70,Pb!$C$2:$AV$103,20)),0))*H70</f>
        <v>0</v>
      </c>
      <c r="X70" s="26">
        <f>(IF(AND((O70="Pb"),(I70="Adult (&gt; 15 years)")),(VLOOKUP(Q70,Pb!$A$2:$AV$103,46)),0))*H70</f>
        <v>0</v>
      </c>
      <c r="Y70" s="26">
        <f>(IF(AND((O70="Hg"),(I70="Child (0-7 years)")),(VLOOKUP(Q70,'Hg Values'!$A$1:$M$30,3)),0))*H70</f>
        <v>0</v>
      </c>
      <c r="Z70" s="26">
        <f>(IF(AND((O70="Hg"),(I70="Child (0-7 years)")),(VLOOKUP(Q70,'Hg Values'!$A$1:$M$30,13)),0))*H70</f>
        <v>0</v>
      </c>
      <c r="AA70" s="5">
        <f>(((IF(AND((O70="CA"),(I70="Adult (&gt; 15 years)")),((Q70*1)/70)*(VLOOKUP(J70,CA_ingestion!A$1:J$78,4,0)),0))))/11</f>
        <v>0</v>
      </c>
      <c r="AB70" s="5">
        <f t="shared" ref="AB70:AB104" si="9">(IF(AA70&gt;1,1,AA70))*H70</f>
        <v>0</v>
      </c>
      <c r="AC70" s="5">
        <f>((IF(AND((O70="CA"),(I70="Adult (&gt; 15 years)")),(AB70*(VLOOKUP(J70,CA_ingestion!A$1:J$78,10,0))),0)))</f>
        <v>0</v>
      </c>
      <c r="AD70" s="5">
        <f t="shared" ref="AD70:AD104" si="10">AB70/2</f>
        <v>0</v>
      </c>
      <c r="AE70" s="5">
        <f t="shared" ref="AE70:AE104" si="11">AC70+AD70</f>
        <v>0</v>
      </c>
    </row>
    <row r="71" spans="1:31" ht="15.5">
      <c r="A71" s="29" t="s">
        <v>283</v>
      </c>
      <c r="B71" s="29">
        <v>0</v>
      </c>
      <c r="C71" s="29"/>
      <c r="D71" s="29"/>
      <c r="E71" s="26" t="str">
        <f>Summary!C$23</f>
        <v>Afghanistan</v>
      </c>
      <c r="F71" s="29"/>
      <c r="G71" s="29" t="s">
        <v>369</v>
      </c>
      <c r="H71" s="33">
        <f>VLOOKUP(G71,'List Data'!$A$100:$B$104,2,0)</f>
        <v>0</v>
      </c>
      <c r="I71" s="29" t="s">
        <v>213</v>
      </c>
      <c r="J71" s="29" t="s">
        <v>213</v>
      </c>
      <c r="K71" s="29">
        <v>0</v>
      </c>
      <c r="L71" s="29"/>
      <c r="M71" s="37">
        <f>R71*Summary!$H$27</f>
        <v>0</v>
      </c>
      <c r="N71" s="37">
        <f>S71*Summary!$H$25</f>
        <v>0</v>
      </c>
      <c r="O71" s="26">
        <f>VLOOKUP(J71,'List Data'!A$2:C$94,3,0)</f>
        <v>0</v>
      </c>
      <c r="P71" s="26" t="str">
        <f>VLOOKUP(J71,'List Data'!A$2:B$94,2,0)</f>
        <v>--------</v>
      </c>
      <c r="Q71" s="26">
        <f t="shared" si="6"/>
        <v>0</v>
      </c>
      <c r="R71" s="26">
        <f t="shared" si="7"/>
        <v>0</v>
      </c>
      <c r="S71" s="26">
        <f t="shared" si="8"/>
        <v>0</v>
      </c>
      <c r="T71" s="26">
        <f>(IF(AND((O71="OP"),(I71="Child (0-7 years)")),VLOOKUP(K71,'OP Values'!$A$1:$Q$35,7),))*H71</f>
        <v>0</v>
      </c>
      <c r="U71" s="26">
        <f>(IF(O71="OP",VLOOKUP($Q71,'OP Values'!$A$1:$Q$35,17),))*H71</f>
        <v>0</v>
      </c>
      <c r="V71" s="26">
        <f>(IF(AND((O71="Pb"),(I71="Child (0-7 years)")),(VLOOKUP(Q71,Pb!$A$1:$AV$103,7)),0))*H71</f>
        <v>0</v>
      </c>
      <c r="W71" s="26">
        <f>(IF(AND((O71="Pb"),(I71="Child (0-7 years)")),(VLOOKUP(Q71,Pb!$C$2:$AV$103,20)),0))*H71</f>
        <v>0</v>
      </c>
      <c r="X71" s="26">
        <f>(IF(AND((O71="Pb"),(I71="Adult (&gt; 15 years)")),(VLOOKUP(Q71,Pb!$A$2:$AV$103,46)),0))*H71</f>
        <v>0</v>
      </c>
      <c r="Y71" s="26">
        <f>(IF(AND((O71="Hg"),(I71="Child (0-7 years)")),(VLOOKUP(Q71,'Hg Values'!$A$1:$M$30,3)),0))*H71</f>
        <v>0</v>
      </c>
      <c r="Z71" s="26">
        <f>(IF(AND((O71="Hg"),(I71="Child (0-7 years)")),(VLOOKUP(Q71,'Hg Values'!$A$1:$M$30,13)),0))*H71</f>
        <v>0</v>
      </c>
      <c r="AA71" s="5">
        <f>(((IF(AND((O71="CA"),(I71="Adult (&gt; 15 years)")),((Q71*1)/70)*(VLOOKUP(J71,CA_ingestion!A$1:J$78,4,0)),0))))/11</f>
        <v>0</v>
      </c>
      <c r="AB71" s="5">
        <f t="shared" si="9"/>
        <v>0</v>
      </c>
      <c r="AC71" s="5">
        <f>((IF(AND((O71="CA"),(I71="Adult (&gt; 15 years)")),(AB71*(VLOOKUP(J71,CA_ingestion!A$1:J$78,10,0))),0)))</f>
        <v>0</v>
      </c>
      <c r="AD71" s="5">
        <f t="shared" si="10"/>
        <v>0</v>
      </c>
      <c r="AE71" s="5">
        <f t="shared" si="11"/>
        <v>0</v>
      </c>
    </row>
    <row r="72" spans="1:31" ht="15.5">
      <c r="A72" s="29" t="s">
        <v>283</v>
      </c>
      <c r="B72" s="29">
        <v>0</v>
      </c>
      <c r="C72" s="29"/>
      <c r="D72" s="29"/>
      <c r="E72" s="26" t="str">
        <f>Summary!C$23</f>
        <v>Afghanistan</v>
      </c>
      <c r="F72" s="29"/>
      <c r="G72" s="29" t="s">
        <v>369</v>
      </c>
      <c r="H72" s="33">
        <f>VLOOKUP(G72,'List Data'!$A$100:$B$104,2,0)</f>
        <v>0</v>
      </c>
      <c r="I72" s="29" t="s">
        <v>213</v>
      </c>
      <c r="J72" s="29" t="s">
        <v>213</v>
      </c>
      <c r="K72" s="29">
        <v>0</v>
      </c>
      <c r="L72" s="29"/>
      <c r="M72" s="37">
        <f>R72*Summary!$H$27</f>
        <v>0</v>
      </c>
      <c r="N72" s="37">
        <f>S72*Summary!$H$25</f>
        <v>0</v>
      </c>
      <c r="O72" s="26">
        <f>VLOOKUP(J72,'List Data'!A$2:C$94,3,0)</f>
        <v>0</v>
      </c>
      <c r="P72" s="26" t="str">
        <f>VLOOKUP(J72,'List Data'!A$2:B$94,2,0)</f>
        <v>--------</v>
      </c>
      <c r="Q72" s="26">
        <f t="shared" si="6"/>
        <v>0</v>
      </c>
      <c r="R72" s="26">
        <f t="shared" si="7"/>
        <v>0</v>
      </c>
      <c r="S72" s="26">
        <f t="shared" si="8"/>
        <v>0</v>
      </c>
      <c r="T72" s="26">
        <f>(IF(AND((O72="OP"),(I72="Child (0-7 years)")),VLOOKUP(K72,'OP Values'!$A$1:$Q$35,7),))*H72</f>
        <v>0</v>
      </c>
      <c r="U72" s="26">
        <f>(IF(O72="OP",VLOOKUP($Q72,'OP Values'!$A$1:$Q$35,17),))*H72</f>
        <v>0</v>
      </c>
      <c r="V72" s="26">
        <f>(IF(AND((O72="Pb"),(I72="Child (0-7 years)")),(VLOOKUP(Q72,Pb!$A$1:$AV$103,7)),0))*H72</f>
        <v>0</v>
      </c>
      <c r="W72" s="26">
        <f>(IF(AND((O72="Pb"),(I72="Child (0-7 years)")),(VLOOKUP(Q72,Pb!$C$2:$AV$103,20)),0))*H72</f>
        <v>0</v>
      </c>
      <c r="X72" s="26">
        <f>(IF(AND((O72="Pb"),(I72="Adult (&gt; 15 years)")),(VLOOKUP(Q72,Pb!$A$2:$AV$103,46)),0))*H72</f>
        <v>0</v>
      </c>
      <c r="Y72" s="26">
        <f>(IF(AND((O72="Hg"),(I72="Child (0-7 years)")),(VLOOKUP(Q72,'Hg Values'!$A$1:$M$30,3)),0))*H72</f>
        <v>0</v>
      </c>
      <c r="Z72" s="26">
        <f>(IF(AND((O72="Hg"),(I72="Child (0-7 years)")),(VLOOKUP(Q72,'Hg Values'!$A$1:$M$30,13)),0))*H72</f>
        <v>0</v>
      </c>
      <c r="AA72" s="5">
        <f>(((IF(AND((O72="CA"),(I72="Adult (&gt; 15 years)")),((Q72*1)/70)*(VLOOKUP(J72,CA_ingestion!A$1:J$78,4,0)),0))))/11</f>
        <v>0</v>
      </c>
      <c r="AB72" s="5">
        <f t="shared" si="9"/>
        <v>0</v>
      </c>
      <c r="AC72" s="5">
        <f>((IF(AND((O72="CA"),(I72="Adult (&gt; 15 years)")),(AB72*(VLOOKUP(J72,CA_ingestion!A$1:J$78,10,0))),0)))</f>
        <v>0</v>
      </c>
      <c r="AD72" s="5">
        <f t="shared" si="10"/>
        <v>0</v>
      </c>
      <c r="AE72" s="5">
        <f t="shared" si="11"/>
        <v>0</v>
      </c>
    </row>
    <row r="73" spans="1:31" ht="15.5">
      <c r="A73" s="29" t="s">
        <v>283</v>
      </c>
      <c r="B73" s="29">
        <v>0</v>
      </c>
      <c r="C73" s="29"/>
      <c r="D73" s="29"/>
      <c r="E73" s="26" t="str">
        <f>Summary!C$23</f>
        <v>Afghanistan</v>
      </c>
      <c r="F73" s="29"/>
      <c r="G73" s="29" t="s">
        <v>369</v>
      </c>
      <c r="H73" s="33">
        <f>VLOOKUP(G73,'List Data'!$A$100:$B$104,2,0)</f>
        <v>0</v>
      </c>
      <c r="I73" s="29" t="s">
        <v>213</v>
      </c>
      <c r="J73" s="29" t="s">
        <v>213</v>
      </c>
      <c r="K73" s="29">
        <v>0</v>
      </c>
      <c r="L73" s="29"/>
      <c r="M73" s="37">
        <f>R73*Summary!$H$27</f>
        <v>0</v>
      </c>
      <c r="N73" s="37">
        <f>S73*Summary!$H$25</f>
        <v>0</v>
      </c>
      <c r="O73" s="26">
        <f>VLOOKUP(J73,'List Data'!A$2:C$94,3,0)</f>
        <v>0</v>
      </c>
      <c r="P73" s="26" t="str">
        <f>VLOOKUP(J73,'List Data'!A$2:B$94,2,0)</f>
        <v>--------</v>
      </c>
      <c r="Q73" s="26">
        <f t="shared" si="6"/>
        <v>0</v>
      </c>
      <c r="R73" s="26">
        <f t="shared" si="7"/>
        <v>0</v>
      </c>
      <c r="S73" s="26">
        <f t="shared" si="8"/>
        <v>0</v>
      </c>
      <c r="T73" s="26">
        <f>(IF(AND((O73="OP"),(I73="Child (0-7 years)")),VLOOKUP(K73,'OP Values'!$A$1:$Q$35,7),))*H73</f>
        <v>0</v>
      </c>
      <c r="U73" s="26">
        <f>(IF(O73="OP",VLOOKUP($Q73,'OP Values'!$A$1:$Q$35,17),))*H73</f>
        <v>0</v>
      </c>
      <c r="V73" s="26">
        <f>(IF(AND((O73="Pb"),(I73="Child (0-7 years)")),(VLOOKUP(Q73,Pb!$A$1:$AV$103,7)),0))*H73</f>
        <v>0</v>
      </c>
      <c r="W73" s="26">
        <f>(IF(AND((O73="Pb"),(I73="Child (0-7 years)")),(VLOOKUP(Q73,Pb!$C$2:$AV$103,20)),0))*H73</f>
        <v>0</v>
      </c>
      <c r="X73" s="26">
        <f>(IF(AND((O73="Pb"),(I73="Adult (&gt; 15 years)")),(VLOOKUP(Q73,Pb!$A$2:$AV$103,46)),0))*H73</f>
        <v>0</v>
      </c>
      <c r="Y73" s="26">
        <f>(IF(AND((O73="Hg"),(I73="Child (0-7 years)")),(VLOOKUP(Q73,'Hg Values'!$A$1:$M$30,3)),0))*H73</f>
        <v>0</v>
      </c>
      <c r="Z73" s="26">
        <f>(IF(AND((O73="Hg"),(I73="Child (0-7 years)")),(VLOOKUP(Q73,'Hg Values'!$A$1:$M$30,13)),0))*H73</f>
        <v>0</v>
      </c>
      <c r="AA73" s="5">
        <f>(((IF(AND((O73="CA"),(I73="Adult (&gt; 15 years)")),((Q73*1)/70)*(VLOOKUP(J73,CA_ingestion!A$1:J$78,4,0)),0))))/11</f>
        <v>0</v>
      </c>
      <c r="AB73" s="5">
        <f t="shared" si="9"/>
        <v>0</v>
      </c>
      <c r="AC73" s="5">
        <f>((IF(AND((O73="CA"),(I73="Adult (&gt; 15 years)")),(AB73*(VLOOKUP(J73,CA_ingestion!A$1:J$78,10,0))),0)))</f>
        <v>0</v>
      </c>
      <c r="AD73" s="5">
        <f t="shared" si="10"/>
        <v>0</v>
      </c>
      <c r="AE73" s="5">
        <f t="shared" si="11"/>
        <v>0</v>
      </c>
    </row>
    <row r="74" spans="1:31" ht="15.5">
      <c r="A74" s="29" t="s">
        <v>283</v>
      </c>
      <c r="B74" s="29">
        <v>0</v>
      </c>
      <c r="C74" s="29"/>
      <c r="D74" s="29"/>
      <c r="E74" s="26" t="str">
        <f>Summary!C$23</f>
        <v>Afghanistan</v>
      </c>
      <c r="F74" s="29"/>
      <c r="G74" s="29" t="s">
        <v>369</v>
      </c>
      <c r="H74" s="33">
        <f>VLOOKUP(G74,'List Data'!$A$100:$B$104,2,0)</f>
        <v>0</v>
      </c>
      <c r="I74" s="29" t="s">
        <v>213</v>
      </c>
      <c r="J74" s="29" t="s">
        <v>213</v>
      </c>
      <c r="K74" s="29">
        <v>0</v>
      </c>
      <c r="L74" s="29"/>
      <c r="M74" s="37">
        <f>R74*Summary!$H$27</f>
        <v>0</v>
      </c>
      <c r="N74" s="37">
        <f>S74*Summary!$H$25</f>
        <v>0</v>
      </c>
      <c r="O74" s="26">
        <f>VLOOKUP(J74,'List Data'!A$2:C$94,3,0)</f>
        <v>0</v>
      </c>
      <c r="P74" s="26" t="str">
        <f>VLOOKUP(J74,'List Data'!A$2:B$94,2,0)</f>
        <v>--------</v>
      </c>
      <c r="Q74" s="26">
        <f t="shared" si="6"/>
        <v>0</v>
      </c>
      <c r="R74" s="26">
        <f t="shared" si="7"/>
        <v>0</v>
      </c>
      <c r="S74" s="26">
        <f t="shared" si="8"/>
        <v>0</v>
      </c>
      <c r="T74" s="26">
        <f>(IF(AND((O74="OP"),(I74="Child (0-7 years)")),VLOOKUP(K74,'OP Values'!$A$1:$Q$35,7),))*H74</f>
        <v>0</v>
      </c>
      <c r="U74" s="26">
        <f>(IF(O74="OP",VLOOKUP($Q74,'OP Values'!$A$1:$Q$35,17),))*H74</f>
        <v>0</v>
      </c>
      <c r="V74" s="26">
        <f>(IF(AND((O74="Pb"),(I74="Child (0-7 years)")),(VLOOKUP(Q74,Pb!$A$1:$AV$103,7)),0))*H74</f>
        <v>0</v>
      </c>
      <c r="W74" s="26">
        <f>(IF(AND((O74="Pb"),(I74="Child (0-7 years)")),(VLOOKUP(Q74,Pb!$C$2:$AV$103,20)),0))*H74</f>
        <v>0</v>
      </c>
      <c r="X74" s="26">
        <f>(IF(AND((O74="Pb"),(I74="Adult (&gt; 15 years)")),(VLOOKUP(Q74,Pb!$A$2:$AV$103,46)),0))*H74</f>
        <v>0</v>
      </c>
      <c r="Y74" s="26">
        <f>(IF(AND((O74="Hg"),(I74="Child (0-7 years)")),(VLOOKUP(Q74,'Hg Values'!$A$1:$M$30,3)),0))*H74</f>
        <v>0</v>
      </c>
      <c r="Z74" s="26">
        <f>(IF(AND((O74="Hg"),(I74="Child (0-7 years)")),(VLOOKUP(Q74,'Hg Values'!$A$1:$M$30,13)),0))*H74</f>
        <v>0</v>
      </c>
      <c r="AA74" s="5">
        <f>(((IF(AND((O74="CA"),(I74="Adult (&gt; 15 years)")),((Q74*1)/70)*(VLOOKUP(J74,CA_ingestion!A$1:J$78,4,0)),0))))/11</f>
        <v>0</v>
      </c>
      <c r="AB74" s="5">
        <f t="shared" si="9"/>
        <v>0</v>
      </c>
      <c r="AC74" s="5">
        <f>((IF(AND((O74="CA"),(I74="Adult (&gt; 15 years)")),(AB74*(VLOOKUP(J74,CA_ingestion!A$1:J$78,10,0))),0)))</f>
        <v>0</v>
      </c>
      <c r="AD74" s="5">
        <f t="shared" si="10"/>
        <v>0</v>
      </c>
      <c r="AE74" s="5">
        <f t="shared" si="11"/>
        <v>0</v>
      </c>
    </row>
    <row r="75" spans="1:31" ht="15.5">
      <c r="A75" s="29" t="s">
        <v>283</v>
      </c>
      <c r="B75" s="29">
        <v>0</v>
      </c>
      <c r="C75" s="29"/>
      <c r="D75" s="29"/>
      <c r="E75" s="26" t="str">
        <f>Summary!C$23</f>
        <v>Afghanistan</v>
      </c>
      <c r="F75" s="29"/>
      <c r="G75" s="29" t="s">
        <v>369</v>
      </c>
      <c r="H75" s="33">
        <f>VLOOKUP(G75,'List Data'!$A$100:$B$104,2,0)</f>
        <v>0</v>
      </c>
      <c r="I75" s="29" t="s">
        <v>213</v>
      </c>
      <c r="J75" s="29" t="s">
        <v>213</v>
      </c>
      <c r="K75" s="29">
        <v>0</v>
      </c>
      <c r="L75" s="29"/>
      <c r="M75" s="37">
        <f>R75*Summary!$H$27</f>
        <v>0</v>
      </c>
      <c r="N75" s="37">
        <f>S75*Summary!$H$25</f>
        <v>0</v>
      </c>
      <c r="O75" s="26">
        <f>VLOOKUP(J75,'List Data'!A$2:C$94,3,0)</f>
        <v>0</v>
      </c>
      <c r="P75" s="26" t="str">
        <f>VLOOKUP(J75,'List Data'!A$2:B$94,2,0)</f>
        <v>--------</v>
      </c>
      <c r="Q75" s="26">
        <f t="shared" si="6"/>
        <v>0</v>
      </c>
      <c r="R75" s="26">
        <f t="shared" si="7"/>
        <v>0</v>
      </c>
      <c r="S75" s="26">
        <f t="shared" si="8"/>
        <v>0</v>
      </c>
      <c r="T75" s="26">
        <f>(IF(AND((O75="OP"),(I75="Child (0-7 years)")),VLOOKUP(K75,'OP Values'!$A$1:$Q$35,7),))*H75</f>
        <v>0</v>
      </c>
      <c r="U75" s="26">
        <f>(IF(O75="OP",VLOOKUP($Q75,'OP Values'!$A$1:$Q$35,17),))*H75</f>
        <v>0</v>
      </c>
      <c r="V75" s="26">
        <f>(IF(AND((O75="Pb"),(I75="Child (0-7 years)")),(VLOOKUP(Q75,Pb!$A$1:$AV$103,7)),0))*H75</f>
        <v>0</v>
      </c>
      <c r="W75" s="26">
        <f>(IF(AND((O75="Pb"),(I75="Child (0-7 years)")),(VLOOKUP(Q75,Pb!$C$2:$AV$103,20)),0))*H75</f>
        <v>0</v>
      </c>
      <c r="X75" s="26">
        <f>(IF(AND((O75="Pb"),(I75="Adult (&gt; 15 years)")),(VLOOKUP(Q75,Pb!$A$2:$AV$103,46)),0))*H75</f>
        <v>0</v>
      </c>
      <c r="Y75" s="26">
        <f>(IF(AND((O75="Hg"),(I75="Child (0-7 years)")),(VLOOKUP(Q75,'Hg Values'!$A$1:$M$30,3)),0))*H75</f>
        <v>0</v>
      </c>
      <c r="Z75" s="26">
        <f>(IF(AND((O75="Hg"),(I75="Child (0-7 years)")),(VLOOKUP(Q75,'Hg Values'!$A$1:$M$30,13)),0))*H75</f>
        <v>0</v>
      </c>
      <c r="AA75" s="5">
        <f>(((IF(AND((O75="CA"),(I75="Adult (&gt; 15 years)")),((Q75*1)/70)*(VLOOKUP(J75,CA_ingestion!A$1:J$78,4,0)),0))))/11</f>
        <v>0</v>
      </c>
      <c r="AB75" s="5">
        <f t="shared" si="9"/>
        <v>0</v>
      </c>
      <c r="AC75" s="5">
        <f>((IF(AND((O75="CA"),(I75="Adult (&gt; 15 years)")),(AB75*(VLOOKUP(J75,CA_ingestion!A$1:J$78,10,0))),0)))</f>
        <v>0</v>
      </c>
      <c r="AD75" s="5">
        <f t="shared" si="10"/>
        <v>0</v>
      </c>
      <c r="AE75" s="5">
        <f t="shared" si="11"/>
        <v>0</v>
      </c>
    </row>
    <row r="76" spans="1:31" ht="15.5">
      <c r="A76" s="29" t="s">
        <v>283</v>
      </c>
      <c r="B76" s="29">
        <v>0</v>
      </c>
      <c r="C76" s="29"/>
      <c r="D76" s="29"/>
      <c r="E76" s="26" t="str">
        <f>Summary!C$23</f>
        <v>Afghanistan</v>
      </c>
      <c r="F76" s="29"/>
      <c r="G76" s="29" t="s">
        <v>369</v>
      </c>
      <c r="H76" s="33">
        <f>VLOOKUP(G76,'List Data'!$A$100:$B$104,2,0)</f>
        <v>0</v>
      </c>
      <c r="I76" s="29" t="s">
        <v>213</v>
      </c>
      <c r="J76" s="29" t="s">
        <v>213</v>
      </c>
      <c r="K76" s="29">
        <v>0</v>
      </c>
      <c r="L76" s="29"/>
      <c r="M76" s="37">
        <f>R76*Summary!$H$27</f>
        <v>0</v>
      </c>
      <c r="N76" s="37">
        <f>S76*Summary!$H$25</f>
        <v>0</v>
      </c>
      <c r="O76" s="26">
        <f>VLOOKUP(J76,'List Data'!A$2:C$94,3,0)</f>
        <v>0</v>
      </c>
      <c r="P76" s="26" t="str">
        <f>VLOOKUP(J76,'List Data'!A$2:B$94,2,0)</f>
        <v>--------</v>
      </c>
      <c r="Q76" s="26">
        <f t="shared" si="6"/>
        <v>0</v>
      </c>
      <c r="R76" s="26">
        <f t="shared" si="7"/>
        <v>0</v>
      </c>
      <c r="S76" s="26">
        <f t="shared" si="8"/>
        <v>0</v>
      </c>
      <c r="T76" s="26">
        <f>(IF(AND((O76="OP"),(I76="Child (0-7 years)")),VLOOKUP(K76,'OP Values'!$A$1:$Q$35,7),))*H76</f>
        <v>0</v>
      </c>
      <c r="U76" s="26">
        <f>(IF(O76="OP",VLOOKUP($Q76,'OP Values'!$A$1:$Q$35,17),))*H76</f>
        <v>0</v>
      </c>
      <c r="V76" s="26">
        <f>(IF(AND((O76="Pb"),(I76="Child (0-7 years)")),(VLOOKUP(Q76,Pb!$A$1:$AV$103,7)),0))*H76</f>
        <v>0</v>
      </c>
      <c r="W76" s="26">
        <f>(IF(AND((O76="Pb"),(I76="Child (0-7 years)")),(VLOOKUP(Q76,Pb!$C$2:$AV$103,20)),0))*H76</f>
        <v>0</v>
      </c>
      <c r="X76" s="26">
        <f>(IF(AND((O76="Pb"),(I76="Adult (&gt; 15 years)")),(VLOOKUP(Q76,Pb!$A$2:$AV$103,46)),0))*H76</f>
        <v>0</v>
      </c>
      <c r="Y76" s="26">
        <f>(IF(AND((O76="Hg"),(I76="Child (0-7 years)")),(VLOOKUP(Q76,'Hg Values'!$A$1:$M$30,3)),0))*H76</f>
        <v>0</v>
      </c>
      <c r="Z76" s="26">
        <f>(IF(AND((O76="Hg"),(I76="Child (0-7 years)")),(VLOOKUP(Q76,'Hg Values'!$A$1:$M$30,13)),0))*H76</f>
        <v>0</v>
      </c>
      <c r="AA76" s="5">
        <f>(((IF(AND((O76="CA"),(I76="Adult (&gt; 15 years)")),((Q76*1)/70)*(VLOOKUP(J76,CA_ingestion!A$1:J$78,4,0)),0))))/11</f>
        <v>0</v>
      </c>
      <c r="AB76" s="5">
        <f t="shared" si="9"/>
        <v>0</v>
      </c>
      <c r="AC76" s="5">
        <f>((IF(AND((O76="CA"),(I76="Adult (&gt; 15 years)")),(AB76*(VLOOKUP(J76,CA_ingestion!A$1:J$78,10,0))),0)))</f>
        <v>0</v>
      </c>
      <c r="AD76" s="5">
        <f t="shared" si="10"/>
        <v>0</v>
      </c>
      <c r="AE76" s="5">
        <f t="shared" si="11"/>
        <v>0</v>
      </c>
    </row>
    <row r="77" spans="1:31" ht="15.5">
      <c r="A77" s="29" t="s">
        <v>283</v>
      </c>
      <c r="B77" s="29">
        <v>0</v>
      </c>
      <c r="C77" s="29"/>
      <c r="D77" s="29"/>
      <c r="E77" s="26" t="str">
        <f>Summary!C$23</f>
        <v>Afghanistan</v>
      </c>
      <c r="F77" s="29"/>
      <c r="G77" s="29" t="s">
        <v>369</v>
      </c>
      <c r="H77" s="33">
        <f>VLOOKUP(G77,'List Data'!$A$100:$B$104,2,0)</f>
        <v>0</v>
      </c>
      <c r="I77" s="29" t="s">
        <v>213</v>
      </c>
      <c r="J77" s="29" t="s">
        <v>213</v>
      </c>
      <c r="K77" s="29">
        <v>0</v>
      </c>
      <c r="L77" s="29"/>
      <c r="M77" s="37">
        <f>R77*Summary!$H$27</f>
        <v>0</v>
      </c>
      <c r="N77" s="37">
        <f>S77*Summary!$H$25</f>
        <v>0</v>
      </c>
      <c r="O77" s="26">
        <f>VLOOKUP(J77,'List Data'!A$2:C$94,3,0)</f>
        <v>0</v>
      </c>
      <c r="P77" s="26" t="str">
        <f>VLOOKUP(J77,'List Data'!A$2:B$94,2,0)</f>
        <v>--------</v>
      </c>
      <c r="Q77" s="26">
        <f t="shared" si="6"/>
        <v>0</v>
      </c>
      <c r="R77" s="26">
        <f t="shared" si="7"/>
        <v>0</v>
      </c>
      <c r="S77" s="26">
        <f t="shared" si="8"/>
        <v>0</v>
      </c>
      <c r="T77" s="26">
        <f>(IF(AND((O77="OP"),(I77="Child (0-7 years)")),VLOOKUP(K77,'OP Values'!$A$1:$Q$35,7),))*H77</f>
        <v>0</v>
      </c>
      <c r="U77" s="26">
        <f>(IF(O77="OP",VLOOKUP($Q77,'OP Values'!$A$1:$Q$35,17),))*H77</f>
        <v>0</v>
      </c>
      <c r="V77" s="26">
        <f>(IF(AND((O77="Pb"),(I77="Child (0-7 years)")),(VLOOKUP(Q77,Pb!$A$1:$AV$103,7)),0))*H77</f>
        <v>0</v>
      </c>
      <c r="W77" s="26">
        <f>(IF(AND((O77="Pb"),(I77="Child (0-7 years)")),(VLOOKUP(Q77,Pb!$C$2:$AV$103,20)),0))*H77</f>
        <v>0</v>
      </c>
      <c r="X77" s="26">
        <f>(IF(AND((O77="Pb"),(I77="Adult (&gt; 15 years)")),(VLOOKUP(Q77,Pb!$A$2:$AV$103,46)),0))*H77</f>
        <v>0</v>
      </c>
      <c r="Y77" s="26">
        <f>(IF(AND((O77="Hg"),(I77="Child (0-7 years)")),(VLOOKUP(Q77,'Hg Values'!$A$1:$M$30,3)),0))*H77</f>
        <v>0</v>
      </c>
      <c r="Z77" s="26">
        <f>(IF(AND((O77="Hg"),(I77="Child (0-7 years)")),(VLOOKUP(Q77,'Hg Values'!$A$1:$M$30,13)),0))*H77</f>
        <v>0</v>
      </c>
      <c r="AA77" s="5">
        <f>(((IF(AND((O77="CA"),(I77="Adult (&gt; 15 years)")),((Q77*1)/70)*(VLOOKUP(J77,CA_ingestion!A$1:J$78,4,0)),0))))/11</f>
        <v>0</v>
      </c>
      <c r="AB77" s="5">
        <f t="shared" si="9"/>
        <v>0</v>
      </c>
      <c r="AC77" s="5">
        <f>((IF(AND((O77="CA"),(I77="Adult (&gt; 15 years)")),(AB77*(VLOOKUP(J77,CA_ingestion!A$1:J$78,10,0))),0)))</f>
        <v>0</v>
      </c>
      <c r="AD77" s="5">
        <f t="shared" si="10"/>
        <v>0</v>
      </c>
      <c r="AE77" s="5">
        <f t="shared" si="11"/>
        <v>0</v>
      </c>
    </row>
    <row r="78" spans="1:31" ht="15.5">
      <c r="A78" s="29" t="s">
        <v>283</v>
      </c>
      <c r="B78" s="29">
        <v>0</v>
      </c>
      <c r="C78" s="29"/>
      <c r="D78" s="29"/>
      <c r="E78" s="26" t="str">
        <f>Summary!C$23</f>
        <v>Afghanistan</v>
      </c>
      <c r="F78" s="29"/>
      <c r="G78" s="29" t="s">
        <v>369</v>
      </c>
      <c r="H78" s="33">
        <f>VLOOKUP(G78,'List Data'!$A$100:$B$104,2,0)</f>
        <v>0</v>
      </c>
      <c r="I78" s="29" t="s">
        <v>213</v>
      </c>
      <c r="J78" s="29" t="s">
        <v>213</v>
      </c>
      <c r="K78" s="29">
        <v>0</v>
      </c>
      <c r="L78" s="29"/>
      <c r="M78" s="37">
        <f>R78*Summary!$H$27</f>
        <v>0</v>
      </c>
      <c r="N78" s="37">
        <f>S78*Summary!$H$25</f>
        <v>0</v>
      </c>
      <c r="O78" s="26">
        <f>VLOOKUP(J78,'List Data'!A$2:C$94,3,0)</f>
        <v>0</v>
      </c>
      <c r="P78" s="26" t="str">
        <f>VLOOKUP(J78,'List Data'!A$2:B$94,2,0)</f>
        <v>--------</v>
      </c>
      <c r="Q78" s="26">
        <f t="shared" si="6"/>
        <v>0</v>
      </c>
      <c r="R78" s="26">
        <f t="shared" si="7"/>
        <v>0</v>
      </c>
      <c r="S78" s="26">
        <f t="shared" si="8"/>
        <v>0</v>
      </c>
      <c r="T78" s="26">
        <f>(IF(AND((O78="OP"),(I78="Child (0-7 years)")),VLOOKUP(K78,'OP Values'!$A$1:$Q$35,7),))*H78</f>
        <v>0</v>
      </c>
      <c r="U78" s="26">
        <f>(IF(O78="OP",VLOOKUP($Q78,'OP Values'!$A$1:$Q$35,17),))*H78</f>
        <v>0</v>
      </c>
      <c r="V78" s="26">
        <f>(IF(AND((O78="Pb"),(I78="Child (0-7 years)")),(VLOOKUP(Q78,Pb!$A$1:$AV$103,7)),0))*H78</f>
        <v>0</v>
      </c>
      <c r="W78" s="26">
        <f>(IF(AND((O78="Pb"),(I78="Child (0-7 years)")),(VLOOKUP(Q78,Pb!$C$2:$AV$103,20)),0))*H78</f>
        <v>0</v>
      </c>
      <c r="X78" s="26">
        <f>(IF(AND((O78="Pb"),(I78="Adult (&gt; 15 years)")),(VLOOKUP(Q78,Pb!$A$2:$AV$103,46)),0))*H78</f>
        <v>0</v>
      </c>
      <c r="Y78" s="26">
        <f>(IF(AND((O78="Hg"),(I78="Child (0-7 years)")),(VLOOKUP(Q78,'Hg Values'!$A$1:$M$30,3)),0))*H78</f>
        <v>0</v>
      </c>
      <c r="Z78" s="26">
        <f>(IF(AND((O78="Hg"),(I78="Child (0-7 years)")),(VLOOKUP(Q78,'Hg Values'!$A$1:$M$30,13)),0))*H78</f>
        <v>0</v>
      </c>
      <c r="AA78" s="5">
        <f>(((IF(AND((O78="CA"),(I78="Adult (&gt; 15 years)")),((Q78*1)/70)*(VLOOKUP(J78,CA_ingestion!A$1:J$78,4,0)),0))))/11</f>
        <v>0</v>
      </c>
      <c r="AB78" s="5">
        <f t="shared" si="9"/>
        <v>0</v>
      </c>
      <c r="AC78" s="5">
        <f>((IF(AND((O78="CA"),(I78="Adult (&gt; 15 years)")),(AB78*(VLOOKUP(J78,CA_ingestion!A$1:J$78,10,0))),0)))</f>
        <v>0</v>
      </c>
      <c r="AD78" s="5">
        <f t="shared" si="10"/>
        <v>0</v>
      </c>
      <c r="AE78" s="5">
        <f t="shared" si="11"/>
        <v>0</v>
      </c>
    </row>
    <row r="79" spans="1:31" ht="15.5">
      <c r="A79" s="29" t="s">
        <v>283</v>
      </c>
      <c r="B79" s="29">
        <v>0</v>
      </c>
      <c r="C79" s="29"/>
      <c r="D79" s="29"/>
      <c r="E79" s="26" t="str">
        <f>Summary!C$23</f>
        <v>Afghanistan</v>
      </c>
      <c r="F79" s="29"/>
      <c r="G79" s="29" t="s">
        <v>369</v>
      </c>
      <c r="H79" s="33">
        <f>VLOOKUP(G79,'List Data'!$A$100:$B$104,2,0)</f>
        <v>0</v>
      </c>
      <c r="I79" s="29" t="s">
        <v>213</v>
      </c>
      <c r="J79" s="29" t="s">
        <v>213</v>
      </c>
      <c r="K79" s="29">
        <v>0</v>
      </c>
      <c r="L79" s="29"/>
      <c r="M79" s="37">
        <f>R79*Summary!$H$27</f>
        <v>0</v>
      </c>
      <c r="N79" s="37">
        <f>S79*Summary!$H$25</f>
        <v>0</v>
      </c>
      <c r="O79" s="26">
        <f>VLOOKUP(J79,'List Data'!A$2:C$94,3,0)</f>
        <v>0</v>
      </c>
      <c r="P79" s="26" t="str">
        <f>VLOOKUP(J79,'List Data'!A$2:B$94,2,0)</f>
        <v>--------</v>
      </c>
      <c r="Q79" s="26">
        <f t="shared" si="6"/>
        <v>0</v>
      </c>
      <c r="R79" s="26">
        <f t="shared" si="7"/>
        <v>0</v>
      </c>
      <c r="S79" s="26">
        <f t="shared" si="8"/>
        <v>0</v>
      </c>
      <c r="T79" s="26">
        <f>(IF(AND((O79="OP"),(I79="Child (0-7 years)")),VLOOKUP(K79,'OP Values'!$A$1:$Q$35,7),))*H79</f>
        <v>0</v>
      </c>
      <c r="U79" s="26">
        <f>(IF(O79="OP",VLOOKUP($Q79,'OP Values'!$A$1:$Q$35,17),))*H79</f>
        <v>0</v>
      </c>
      <c r="V79" s="26">
        <f>(IF(AND((O79="Pb"),(I79="Child (0-7 years)")),(VLOOKUP(Q79,Pb!$A$1:$AV$103,7)),0))*H79</f>
        <v>0</v>
      </c>
      <c r="W79" s="26">
        <f>(IF(AND((O79="Pb"),(I79="Child (0-7 years)")),(VLOOKUP(Q79,Pb!$C$2:$AV$103,20)),0))*H79</f>
        <v>0</v>
      </c>
      <c r="X79" s="26">
        <f>(IF(AND((O79="Pb"),(I79="Adult (&gt; 15 years)")),(VLOOKUP(Q79,Pb!$A$2:$AV$103,46)),0))*H79</f>
        <v>0</v>
      </c>
      <c r="Y79" s="26">
        <f>(IF(AND((O79="Hg"),(I79="Child (0-7 years)")),(VLOOKUP(Q79,'Hg Values'!$A$1:$M$30,3)),0))*H79</f>
        <v>0</v>
      </c>
      <c r="Z79" s="26">
        <f>(IF(AND((O79="Hg"),(I79="Child (0-7 years)")),(VLOOKUP(Q79,'Hg Values'!$A$1:$M$30,13)),0))*H79</f>
        <v>0</v>
      </c>
      <c r="AA79" s="5">
        <f>(((IF(AND((O79="CA"),(I79="Adult (&gt; 15 years)")),((Q79*1)/70)*(VLOOKUP(J79,CA_ingestion!A$1:J$78,4,0)),0))))/11</f>
        <v>0</v>
      </c>
      <c r="AB79" s="5">
        <f t="shared" si="9"/>
        <v>0</v>
      </c>
      <c r="AC79" s="5">
        <f>((IF(AND((O79="CA"),(I79="Adult (&gt; 15 years)")),(AB79*(VLOOKUP(J79,CA_ingestion!A$1:J$78,10,0))),0)))</f>
        <v>0</v>
      </c>
      <c r="AD79" s="5">
        <f t="shared" si="10"/>
        <v>0</v>
      </c>
      <c r="AE79" s="5">
        <f t="shared" si="11"/>
        <v>0</v>
      </c>
    </row>
    <row r="80" spans="1:31" ht="15.5">
      <c r="A80" s="29" t="s">
        <v>283</v>
      </c>
      <c r="B80" s="29">
        <v>0</v>
      </c>
      <c r="C80" s="29"/>
      <c r="D80" s="29"/>
      <c r="E80" s="26" t="str">
        <f>Summary!C$23</f>
        <v>Afghanistan</v>
      </c>
      <c r="F80" s="29"/>
      <c r="G80" s="29" t="s">
        <v>369</v>
      </c>
      <c r="H80" s="33">
        <f>VLOOKUP(G80,'List Data'!$A$100:$B$104,2,0)</f>
        <v>0</v>
      </c>
      <c r="I80" s="29" t="s">
        <v>213</v>
      </c>
      <c r="J80" s="29" t="s">
        <v>213</v>
      </c>
      <c r="K80" s="29">
        <v>0</v>
      </c>
      <c r="L80" s="29"/>
      <c r="M80" s="37">
        <f>R80*Summary!$H$27</f>
        <v>0</v>
      </c>
      <c r="N80" s="37">
        <f>S80*Summary!$H$25</f>
        <v>0</v>
      </c>
      <c r="O80" s="26">
        <f>VLOOKUP(J80,'List Data'!A$2:C$94,3,0)</f>
        <v>0</v>
      </c>
      <c r="P80" s="26" t="str">
        <f>VLOOKUP(J80,'List Data'!A$2:B$94,2,0)</f>
        <v>--------</v>
      </c>
      <c r="Q80" s="26">
        <f t="shared" si="6"/>
        <v>0</v>
      </c>
      <c r="R80" s="26">
        <f t="shared" si="7"/>
        <v>0</v>
      </c>
      <c r="S80" s="26">
        <f t="shared" si="8"/>
        <v>0</v>
      </c>
      <c r="T80" s="26">
        <f>(IF(AND((O80="OP"),(I80="Child (0-7 years)")),VLOOKUP(K80,'OP Values'!$A$1:$Q$35,7),))*H80</f>
        <v>0</v>
      </c>
      <c r="U80" s="26">
        <f>(IF(O80="OP",VLOOKUP($Q80,'OP Values'!$A$1:$Q$35,17),))*H80</f>
        <v>0</v>
      </c>
      <c r="V80" s="26">
        <f>(IF(AND((O80="Pb"),(I80="Child (0-7 years)")),(VLOOKUP(Q80,Pb!$A$1:$AV$103,7)),0))*H80</f>
        <v>0</v>
      </c>
      <c r="W80" s="26">
        <f>(IF(AND((O80="Pb"),(I80="Child (0-7 years)")),(VLOOKUP(Q80,Pb!$C$2:$AV$103,20)),0))*H80</f>
        <v>0</v>
      </c>
      <c r="X80" s="26">
        <f>(IF(AND((O80="Pb"),(I80="Adult (&gt; 15 years)")),(VLOOKUP(Q80,Pb!$A$2:$AV$103,46)),0))*H80</f>
        <v>0</v>
      </c>
      <c r="Y80" s="26">
        <f>(IF(AND((O80="Hg"),(I80="Child (0-7 years)")),(VLOOKUP(Q80,'Hg Values'!$A$1:$M$30,3)),0))*H80</f>
        <v>0</v>
      </c>
      <c r="Z80" s="26">
        <f>(IF(AND((O80="Hg"),(I80="Child (0-7 years)")),(VLOOKUP(Q80,'Hg Values'!$A$1:$M$30,13)),0))*H80</f>
        <v>0</v>
      </c>
      <c r="AA80" s="5">
        <f>(((IF(AND((O80="CA"),(I80="Adult (&gt; 15 years)")),((Q80*1)/70)*(VLOOKUP(J80,CA_ingestion!A$1:J$78,4,0)),0))))/11</f>
        <v>0</v>
      </c>
      <c r="AB80" s="5">
        <f t="shared" si="9"/>
        <v>0</v>
      </c>
      <c r="AC80" s="5">
        <f>((IF(AND((O80="CA"),(I80="Adult (&gt; 15 years)")),(AB80*(VLOOKUP(J80,CA_ingestion!A$1:J$78,10,0))),0)))</f>
        <v>0</v>
      </c>
      <c r="AD80" s="5">
        <f t="shared" si="10"/>
        <v>0</v>
      </c>
      <c r="AE80" s="5">
        <f t="shared" si="11"/>
        <v>0</v>
      </c>
    </row>
    <row r="81" spans="1:31" ht="15.5">
      <c r="A81" s="29" t="s">
        <v>283</v>
      </c>
      <c r="B81" s="29">
        <v>0</v>
      </c>
      <c r="C81" s="29"/>
      <c r="D81" s="29"/>
      <c r="E81" s="26" t="str">
        <f>Summary!C$23</f>
        <v>Afghanistan</v>
      </c>
      <c r="F81" s="29"/>
      <c r="G81" s="29" t="s">
        <v>369</v>
      </c>
      <c r="H81" s="33">
        <f>VLOOKUP(G81,'List Data'!$A$100:$B$104,2,0)</f>
        <v>0</v>
      </c>
      <c r="I81" s="29" t="s">
        <v>213</v>
      </c>
      <c r="J81" s="29" t="s">
        <v>213</v>
      </c>
      <c r="K81" s="29">
        <v>0</v>
      </c>
      <c r="L81" s="29"/>
      <c r="M81" s="37">
        <f>R81*Summary!$H$27</f>
        <v>0</v>
      </c>
      <c r="N81" s="37">
        <f>S81*Summary!$H$25</f>
        <v>0</v>
      </c>
      <c r="O81" s="26">
        <f>VLOOKUP(J81,'List Data'!A$2:C$94,3,0)</f>
        <v>0</v>
      </c>
      <c r="P81" s="26" t="str">
        <f>VLOOKUP(J81,'List Data'!A$2:B$94,2,0)</f>
        <v>--------</v>
      </c>
      <c r="Q81" s="26">
        <f t="shared" si="6"/>
        <v>0</v>
      </c>
      <c r="R81" s="26">
        <f t="shared" si="7"/>
        <v>0</v>
      </c>
      <c r="S81" s="26">
        <f t="shared" si="8"/>
        <v>0</v>
      </c>
      <c r="T81" s="26">
        <f>(IF(AND((O81="OP"),(I81="Child (0-7 years)")),VLOOKUP(K81,'OP Values'!$A$1:$Q$35,7),))*H81</f>
        <v>0</v>
      </c>
      <c r="U81" s="26">
        <f>(IF(O81="OP",VLOOKUP($Q81,'OP Values'!$A$1:$Q$35,17),))*H81</f>
        <v>0</v>
      </c>
      <c r="V81" s="26">
        <f>(IF(AND((O81="Pb"),(I81="Child (0-7 years)")),(VLOOKUP(Q81,Pb!$A$1:$AV$103,7)),0))*H81</f>
        <v>0</v>
      </c>
      <c r="W81" s="26">
        <f>(IF(AND((O81="Pb"),(I81="Child (0-7 years)")),(VLOOKUP(Q81,Pb!$C$2:$AV$103,20)),0))*H81</f>
        <v>0</v>
      </c>
      <c r="X81" s="26">
        <f>(IF(AND((O81="Pb"),(I81="Adult (&gt; 15 years)")),(VLOOKUP(Q81,Pb!$A$2:$AV$103,46)),0))*H81</f>
        <v>0</v>
      </c>
      <c r="Y81" s="26">
        <f>(IF(AND((O81="Hg"),(I81="Child (0-7 years)")),(VLOOKUP(Q81,'Hg Values'!$A$1:$M$30,3)),0))*H81</f>
        <v>0</v>
      </c>
      <c r="Z81" s="26">
        <f>(IF(AND((O81="Hg"),(I81="Child (0-7 years)")),(VLOOKUP(Q81,'Hg Values'!$A$1:$M$30,13)),0))*H81</f>
        <v>0</v>
      </c>
      <c r="AA81" s="5">
        <f>(((IF(AND((O81="CA"),(I81="Adult (&gt; 15 years)")),((Q81*1)/70)*(VLOOKUP(J81,CA_ingestion!A$1:J$78,4,0)),0))))/11</f>
        <v>0</v>
      </c>
      <c r="AB81" s="5">
        <f t="shared" si="9"/>
        <v>0</v>
      </c>
      <c r="AC81" s="5">
        <f>((IF(AND((O81="CA"),(I81="Adult (&gt; 15 years)")),(AB81*(VLOOKUP(J81,CA_ingestion!A$1:J$78,10,0))),0)))</f>
        <v>0</v>
      </c>
      <c r="AD81" s="5">
        <f t="shared" si="10"/>
        <v>0</v>
      </c>
      <c r="AE81" s="5">
        <f t="shared" si="11"/>
        <v>0</v>
      </c>
    </row>
    <row r="82" spans="1:31" ht="15.5">
      <c r="A82" s="29" t="s">
        <v>283</v>
      </c>
      <c r="B82" s="29">
        <v>0</v>
      </c>
      <c r="C82" s="29"/>
      <c r="D82" s="29"/>
      <c r="E82" s="26" t="str">
        <f>Summary!C$23</f>
        <v>Afghanistan</v>
      </c>
      <c r="F82" s="29"/>
      <c r="G82" s="29" t="s">
        <v>369</v>
      </c>
      <c r="H82" s="33">
        <f>VLOOKUP(G82,'List Data'!$A$100:$B$104,2,0)</f>
        <v>0</v>
      </c>
      <c r="I82" s="29" t="s">
        <v>213</v>
      </c>
      <c r="J82" s="29" t="s">
        <v>213</v>
      </c>
      <c r="K82" s="29">
        <v>0</v>
      </c>
      <c r="L82" s="29"/>
      <c r="M82" s="37">
        <f>R82*Summary!$H$27</f>
        <v>0</v>
      </c>
      <c r="N82" s="37">
        <f>S82*Summary!$H$25</f>
        <v>0</v>
      </c>
      <c r="O82" s="26">
        <f>VLOOKUP(J82,'List Data'!A$2:C$94,3,0)</f>
        <v>0</v>
      </c>
      <c r="P82" s="26" t="str">
        <f>VLOOKUP(J82,'List Data'!A$2:B$94,2,0)</f>
        <v>--------</v>
      </c>
      <c r="Q82" s="26">
        <f t="shared" si="6"/>
        <v>0</v>
      </c>
      <c r="R82" s="26">
        <f t="shared" si="7"/>
        <v>0</v>
      </c>
      <c r="S82" s="26">
        <f t="shared" si="8"/>
        <v>0</v>
      </c>
      <c r="T82" s="26">
        <f>(IF(AND((O82="OP"),(I82="Child (0-7 years)")),VLOOKUP(K82,'OP Values'!$A$1:$Q$35,7),))*H82</f>
        <v>0</v>
      </c>
      <c r="U82" s="26">
        <f>(IF(O82="OP",VLOOKUP($Q82,'OP Values'!$A$1:$Q$35,17),))*H82</f>
        <v>0</v>
      </c>
      <c r="V82" s="26">
        <f>(IF(AND((O82="Pb"),(I82="Child (0-7 years)")),(VLOOKUP(Q82,Pb!$A$1:$AV$103,7)),0))*H82</f>
        <v>0</v>
      </c>
      <c r="W82" s="26">
        <f>(IF(AND((O82="Pb"),(I82="Child (0-7 years)")),(VLOOKUP(Q82,Pb!$C$2:$AV$103,20)),0))*H82</f>
        <v>0</v>
      </c>
      <c r="X82" s="26">
        <f>(IF(AND((O82="Pb"),(I82="Adult (&gt; 15 years)")),(VLOOKUP(Q82,Pb!$A$2:$AV$103,46)),0))*H82</f>
        <v>0</v>
      </c>
      <c r="Y82" s="26">
        <f>(IF(AND((O82="Hg"),(I82="Child (0-7 years)")),(VLOOKUP(Q82,'Hg Values'!$A$1:$M$30,3)),0))*H82</f>
        <v>0</v>
      </c>
      <c r="Z82" s="26">
        <f>(IF(AND((O82="Hg"),(I82="Child (0-7 years)")),(VLOOKUP(Q82,'Hg Values'!$A$1:$M$30,13)),0))*H82</f>
        <v>0</v>
      </c>
      <c r="AA82" s="5">
        <f>(((IF(AND((O82="CA"),(I82="Adult (&gt; 15 years)")),((Q82*1)/70)*(VLOOKUP(J82,CA_ingestion!A$1:J$78,4,0)),0))))/11</f>
        <v>0</v>
      </c>
      <c r="AB82" s="5">
        <f t="shared" si="9"/>
        <v>0</v>
      </c>
      <c r="AC82" s="5">
        <f>((IF(AND((O82="CA"),(I82="Adult (&gt; 15 years)")),(AB82*(VLOOKUP(J82,CA_ingestion!A$1:J$78,10,0))),0)))</f>
        <v>0</v>
      </c>
      <c r="AD82" s="5">
        <f t="shared" si="10"/>
        <v>0</v>
      </c>
      <c r="AE82" s="5">
        <f t="shared" si="11"/>
        <v>0</v>
      </c>
    </row>
    <row r="83" spans="1:31" ht="15.5">
      <c r="A83" s="29" t="s">
        <v>283</v>
      </c>
      <c r="B83" s="29">
        <v>0</v>
      </c>
      <c r="C83" s="29"/>
      <c r="D83" s="29"/>
      <c r="E83" s="26" t="str">
        <f>Summary!C$23</f>
        <v>Afghanistan</v>
      </c>
      <c r="F83" s="29"/>
      <c r="G83" s="29" t="s">
        <v>369</v>
      </c>
      <c r="H83" s="33">
        <f>VLOOKUP(G83,'List Data'!$A$100:$B$104,2,0)</f>
        <v>0</v>
      </c>
      <c r="I83" s="29" t="s">
        <v>213</v>
      </c>
      <c r="J83" s="29" t="s">
        <v>213</v>
      </c>
      <c r="K83" s="29">
        <v>0</v>
      </c>
      <c r="L83" s="29"/>
      <c r="M83" s="37">
        <f>R83*Summary!$H$27</f>
        <v>0</v>
      </c>
      <c r="N83" s="37">
        <f>S83*Summary!$H$25</f>
        <v>0</v>
      </c>
      <c r="O83" s="26">
        <f>VLOOKUP(J83,'List Data'!A$2:C$94,3,0)</f>
        <v>0</v>
      </c>
      <c r="P83" s="26" t="str">
        <f>VLOOKUP(J83,'List Data'!A$2:B$94,2,0)</f>
        <v>--------</v>
      </c>
      <c r="Q83" s="26">
        <f t="shared" si="6"/>
        <v>0</v>
      </c>
      <c r="R83" s="26">
        <f t="shared" si="7"/>
        <v>0</v>
      </c>
      <c r="S83" s="26">
        <f t="shared" si="8"/>
        <v>0</v>
      </c>
      <c r="T83" s="26">
        <f>(IF(AND((O83="OP"),(I83="Child (0-7 years)")),VLOOKUP(K83,'OP Values'!$A$1:$Q$35,7),))*H83</f>
        <v>0</v>
      </c>
      <c r="U83" s="26">
        <f>(IF(O83="OP",VLOOKUP($Q83,'OP Values'!$A$1:$Q$35,17),))*H83</f>
        <v>0</v>
      </c>
      <c r="V83" s="26">
        <f>(IF(AND((O83="Pb"),(I83="Child (0-7 years)")),(VLOOKUP(Q83,Pb!$A$1:$AV$103,7)),0))*H83</f>
        <v>0</v>
      </c>
      <c r="W83" s="26">
        <f>(IF(AND((O83="Pb"),(I83="Child (0-7 years)")),(VLOOKUP(Q83,Pb!$C$2:$AV$103,20)),0))*H83</f>
        <v>0</v>
      </c>
      <c r="X83" s="26">
        <f>(IF(AND((O83="Pb"),(I83="Adult (&gt; 15 years)")),(VLOOKUP(Q83,Pb!$A$2:$AV$103,46)),0))*H83</f>
        <v>0</v>
      </c>
      <c r="Y83" s="26">
        <f>(IF(AND((O83="Hg"),(I83="Child (0-7 years)")),(VLOOKUP(Q83,'Hg Values'!$A$1:$M$30,3)),0))*H83</f>
        <v>0</v>
      </c>
      <c r="Z83" s="26">
        <f>(IF(AND((O83="Hg"),(I83="Child (0-7 years)")),(VLOOKUP(Q83,'Hg Values'!$A$1:$M$30,13)),0))*H83</f>
        <v>0</v>
      </c>
      <c r="AA83" s="5">
        <f>(((IF(AND((O83="CA"),(I83="Adult (&gt; 15 years)")),((Q83*1)/70)*(VLOOKUP(J83,CA_ingestion!A$1:J$78,4,0)),0))))/11</f>
        <v>0</v>
      </c>
      <c r="AB83" s="5">
        <f t="shared" si="9"/>
        <v>0</v>
      </c>
      <c r="AC83" s="5">
        <f>((IF(AND((O83="CA"),(I83="Adult (&gt; 15 years)")),(AB83*(VLOOKUP(J83,CA_ingestion!A$1:J$78,10,0))),0)))</f>
        <v>0</v>
      </c>
      <c r="AD83" s="5">
        <f t="shared" si="10"/>
        <v>0</v>
      </c>
      <c r="AE83" s="5">
        <f t="shared" si="11"/>
        <v>0</v>
      </c>
    </row>
    <row r="84" spans="1:31" ht="15.5">
      <c r="A84" s="29" t="s">
        <v>283</v>
      </c>
      <c r="B84" s="29">
        <v>0</v>
      </c>
      <c r="C84" s="29"/>
      <c r="D84" s="29"/>
      <c r="E84" s="26" t="str">
        <f>Summary!C$23</f>
        <v>Afghanistan</v>
      </c>
      <c r="F84" s="29"/>
      <c r="G84" s="29" t="s">
        <v>369</v>
      </c>
      <c r="H84" s="33">
        <f>VLOOKUP(G84,'List Data'!$A$100:$B$104,2,0)</f>
        <v>0</v>
      </c>
      <c r="I84" s="29" t="s">
        <v>213</v>
      </c>
      <c r="J84" s="29" t="s">
        <v>213</v>
      </c>
      <c r="K84" s="29">
        <v>0</v>
      </c>
      <c r="L84" s="29"/>
      <c r="M84" s="37">
        <f>R84*Summary!$H$27</f>
        <v>0</v>
      </c>
      <c r="N84" s="37">
        <f>S84*Summary!$H$25</f>
        <v>0</v>
      </c>
      <c r="O84" s="26">
        <f>VLOOKUP(J84,'List Data'!A$2:C$94,3,0)</f>
        <v>0</v>
      </c>
      <c r="P84" s="26" t="str">
        <f>VLOOKUP(J84,'List Data'!A$2:B$94,2,0)</f>
        <v>--------</v>
      </c>
      <c r="Q84" s="26">
        <f t="shared" si="6"/>
        <v>0</v>
      </c>
      <c r="R84" s="26">
        <f t="shared" si="7"/>
        <v>0</v>
      </c>
      <c r="S84" s="26">
        <f t="shared" si="8"/>
        <v>0</v>
      </c>
      <c r="T84" s="26">
        <f>(IF(AND((O84="OP"),(I84="Child (0-7 years)")),VLOOKUP(K84,'OP Values'!$A$1:$Q$35,7),))*H84</f>
        <v>0</v>
      </c>
      <c r="U84" s="26">
        <f>(IF(O84="OP",VLOOKUP($Q84,'OP Values'!$A$1:$Q$35,17),))*H84</f>
        <v>0</v>
      </c>
      <c r="V84" s="26">
        <f>(IF(AND((O84="Pb"),(I84="Child (0-7 years)")),(VLOOKUP(Q84,Pb!$A$1:$AV$103,7)),0))*H84</f>
        <v>0</v>
      </c>
      <c r="W84" s="26">
        <f>(IF(AND((O84="Pb"),(I84="Child (0-7 years)")),(VLOOKUP(Q84,Pb!$C$2:$AV$103,20)),0))*H84</f>
        <v>0</v>
      </c>
      <c r="X84" s="26">
        <f>(IF(AND((O84="Pb"),(I84="Adult (&gt; 15 years)")),(VLOOKUP(Q84,Pb!$A$2:$AV$103,46)),0))*H84</f>
        <v>0</v>
      </c>
      <c r="Y84" s="26">
        <f>(IF(AND((O84="Hg"),(I84="Child (0-7 years)")),(VLOOKUP(Q84,'Hg Values'!$A$1:$M$30,3)),0))*H84</f>
        <v>0</v>
      </c>
      <c r="Z84" s="26">
        <f>(IF(AND((O84="Hg"),(I84="Child (0-7 years)")),(VLOOKUP(Q84,'Hg Values'!$A$1:$M$30,13)),0))*H84</f>
        <v>0</v>
      </c>
      <c r="AA84" s="5">
        <f>(((IF(AND((O84="CA"),(I84="Adult (&gt; 15 years)")),((Q84*1)/70)*(VLOOKUP(J84,CA_ingestion!A$1:J$78,4,0)),0))))/11</f>
        <v>0</v>
      </c>
      <c r="AB84" s="5">
        <f t="shared" si="9"/>
        <v>0</v>
      </c>
      <c r="AC84" s="5">
        <f>((IF(AND((O84="CA"),(I84="Adult (&gt; 15 years)")),(AB84*(VLOOKUP(J84,CA_ingestion!A$1:J$78,10,0))),0)))</f>
        <v>0</v>
      </c>
      <c r="AD84" s="5">
        <f t="shared" si="10"/>
        <v>0</v>
      </c>
      <c r="AE84" s="5">
        <f t="shared" si="11"/>
        <v>0</v>
      </c>
    </row>
    <row r="85" spans="1:31" ht="15.5">
      <c r="A85" s="29" t="s">
        <v>283</v>
      </c>
      <c r="B85" s="29">
        <v>0</v>
      </c>
      <c r="C85" s="29"/>
      <c r="D85" s="29"/>
      <c r="E85" s="26" t="str">
        <f>Summary!C$23</f>
        <v>Afghanistan</v>
      </c>
      <c r="F85" s="29"/>
      <c r="G85" s="29" t="s">
        <v>369</v>
      </c>
      <c r="H85" s="33">
        <f>VLOOKUP(G85,'List Data'!$A$100:$B$104,2,0)</f>
        <v>0</v>
      </c>
      <c r="I85" s="29" t="s">
        <v>213</v>
      </c>
      <c r="J85" s="29" t="s">
        <v>213</v>
      </c>
      <c r="K85" s="29">
        <v>0</v>
      </c>
      <c r="L85" s="29"/>
      <c r="M85" s="37">
        <f>R85*Summary!$H$27</f>
        <v>0</v>
      </c>
      <c r="N85" s="37">
        <f>S85*Summary!$H$25</f>
        <v>0</v>
      </c>
      <c r="O85" s="26">
        <f>VLOOKUP(J85,'List Data'!A$2:C$94,3,0)</f>
        <v>0</v>
      </c>
      <c r="P85" s="26" t="str">
        <f>VLOOKUP(J85,'List Data'!A$2:B$94,2,0)</f>
        <v>--------</v>
      </c>
      <c r="Q85" s="26">
        <f t="shared" si="6"/>
        <v>0</v>
      </c>
      <c r="R85" s="26">
        <f t="shared" si="7"/>
        <v>0</v>
      </c>
      <c r="S85" s="26">
        <f t="shared" si="8"/>
        <v>0</v>
      </c>
      <c r="T85" s="26">
        <f>(IF(AND((O85="OP"),(I85="Child (0-7 years)")),VLOOKUP(K85,'OP Values'!$A$1:$Q$35,7),))*H85</f>
        <v>0</v>
      </c>
      <c r="U85" s="26">
        <f>(IF(O85="OP",VLOOKUP($Q85,'OP Values'!$A$1:$Q$35,17),))*H85</f>
        <v>0</v>
      </c>
      <c r="V85" s="26">
        <f>(IF(AND((O85="Pb"),(I85="Child (0-7 years)")),(VLOOKUP(Q85,Pb!$A$1:$AV$103,7)),0))*H85</f>
        <v>0</v>
      </c>
      <c r="W85" s="26">
        <f>(IF(AND((O85="Pb"),(I85="Child (0-7 years)")),(VLOOKUP(Q85,Pb!$C$2:$AV$103,20)),0))*H85</f>
        <v>0</v>
      </c>
      <c r="X85" s="26">
        <f>(IF(AND((O85="Pb"),(I85="Adult (&gt; 15 years)")),(VLOOKUP(Q85,Pb!$A$2:$AV$103,46)),0))*H85</f>
        <v>0</v>
      </c>
      <c r="Y85" s="26">
        <f>(IF(AND((O85="Hg"),(I85="Child (0-7 years)")),(VLOOKUP(Q85,'Hg Values'!$A$1:$M$30,3)),0))*H85</f>
        <v>0</v>
      </c>
      <c r="Z85" s="26">
        <f>(IF(AND((O85="Hg"),(I85="Child (0-7 years)")),(VLOOKUP(Q85,'Hg Values'!$A$1:$M$30,13)),0))*H85</f>
        <v>0</v>
      </c>
      <c r="AA85" s="5">
        <f>(((IF(AND((O85="CA"),(I85="Adult (&gt; 15 years)")),((Q85*1)/70)*(VLOOKUP(J85,CA_ingestion!A$1:J$78,4,0)),0))))/11</f>
        <v>0</v>
      </c>
      <c r="AB85" s="5">
        <f t="shared" si="9"/>
        <v>0</v>
      </c>
      <c r="AC85" s="5">
        <f>((IF(AND((O85="CA"),(I85="Adult (&gt; 15 years)")),(AB85*(VLOOKUP(J85,CA_ingestion!A$1:J$78,10,0))),0)))</f>
        <v>0</v>
      </c>
      <c r="AD85" s="5">
        <f t="shared" si="10"/>
        <v>0</v>
      </c>
      <c r="AE85" s="5">
        <f t="shared" si="11"/>
        <v>0</v>
      </c>
    </row>
    <row r="86" spans="1:31" ht="15.5">
      <c r="A86" s="29" t="s">
        <v>283</v>
      </c>
      <c r="B86" s="29">
        <v>0</v>
      </c>
      <c r="C86" s="29"/>
      <c r="D86" s="29"/>
      <c r="E86" s="26" t="str">
        <f>Summary!C$23</f>
        <v>Afghanistan</v>
      </c>
      <c r="F86" s="29"/>
      <c r="G86" s="29" t="s">
        <v>369</v>
      </c>
      <c r="H86" s="33">
        <f>VLOOKUP(G86,'List Data'!$A$100:$B$104,2,0)</f>
        <v>0</v>
      </c>
      <c r="I86" s="29" t="s">
        <v>213</v>
      </c>
      <c r="J86" s="29" t="s">
        <v>213</v>
      </c>
      <c r="K86" s="29">
        <v>0</v>
      </c>
      <c r="L86" s="29"/>
      <c r="M86" s="37">
        <f>R86*Summary!$H$27</f>
        <v>0</v>
      </c>
      <c r="N86" s="37">
        <f>S86*Summary!$H$25</f>
        <v>0</v>
      </c>
      <c r="O86" s="26">
        <f>VLOOKUP(J86,'List Data'!A$2:C$94,3,0)</f>
        <v>0</v>
      </c>
      <c r="P86" s="26" t="str">
        <f>VLOOKUP(J86,'List Data'!A$2:B$94,2,0)</f>
        <v>--------</v>
      </c>
      <c r="Q86" s="26">
        <f t="shared" si="6"/>
        <v>0</v>
      </c>
      <c r="R86" s="26">
        <f t="shared" si="7"/>
        <v>0</v>
      </c>
      <c r="S86" s="26">
        <f t="shared" si="8"/>
        <v>0</v>
      </c>
      <c r="T86" s="26">
        <f>(IF(AND((O86="OP"),(I86="Child (0-7 years)")),VLOOKUP(K86,'OP Values'!$A$1:$Q$35,7),))*H86</f>
        <v>0</v>
      </c>
      <c r="U86" s="26">
        <f>(IF(O86="OP",VLOOKUP($Q86,'OP Values'!$A$1:$Q$35,17),))*H86</f>
        <v>0</v>
      </c>
      <c r="V86" s="26">
        <f>(IF(AND((O86="Pb"),(I86="Child (0-7 years)")),(VLOOKUP(Q86,Pb!$A$1:$AV$103,7)),0))*H86</f>
        <v>0</v>
      </c>
      <c r="W86" s="26">
        <f>(IF(AND((O86="Pb"),(I86="Child (0-7 years)")),(VLOOKUP(Q86,Pb!$C$2:$AV$103,20)),0))*H86</f>
        <v>0</v>
      </c>
      <c r="X86" s="26">
        <f>(IF(AND((O86="Pb"),(I86="Adult (&gt; 15 years)")),(VLOOKUP(Q86,Pb!$A$2:$AV$103,46)),0))*H86</f>
        <v>0</v>
      </c>
      <c r="Y86" s="26">
        <f>(IF(AND((O86="Hg"),(I86="Child (0-7 years)")),(VLOOKUP(Q86,'Hg Values'!$A$1:$M$30,3)),0))*H86</f>
        <v>0</v>
      </c>
      <c r="Z86" s="26">
        <f>(IF(AND((O86="Hg"),(I86="Child (0-7 years)")),(VLOOKUP(Q86,'Hg Values'!$A$1:$M$30,13)),0))*H86</f>
        <v>0</v>
      </c>
      <c r="AA86" s="5">
        <f>(((IF(AND((O86="CA"),(I86="Adult (&gt; 15 years)")),((Q86*1)/70)*(VLOOKUP(J86,CA_ingestion!A$1:J$78,4,0)),0))))/11</f>
        <v>0</v>
      </c>
      <c r="AB86" s="5">
        <f t="shared" si="9"/>
        <v>0</v>
      </c>
      <c r="AC86" s="5">
        <f>((IF(AND((O86="CA"),(I86="Adult (&gt; 15 years)")),(AB86*(VLOOKUP(J86,CA_ingestion!A$1:J$78,10,0))),0)))</f>
        <v>0</v>
      </c>
      <c r="AD86" s="5">
        <f t="shared" si="10"/>
        <v>0</v>
      </c>
      <c r="AE86" s="5">
        <f t="shared" si="11"/>
        <v>0</v>
      </c>
    </row>
    <row r="87" spans="1:31" ht="15.5">
      <c r="A87" s="29" t="s">
        <v>283</v>
      </c>
      <c r="B87" s="29">
        <v>0</v>
      </c>
      <c r="C87" s="29"/>
      <c r="D87" s="29"/>
      <c r="E87" s="26" t="str">
        <f>Summary!C$23</f>
        <v>Afghanistan</v>
      </c>
      <c r="F87" s="29"/>
      <c r="G87" s="29" t="s">
        <v>369</v>
      </c>
      <c r="H87" s="33">
        <f>VLOOKUP(G87,'List Data'!$A$100:$B$104,2,0)</f>
        <v>0</v>
      </c>
      <c r="I87" s="29" t="s">
        <v>213</v>
      </c>
      <c r="J87" s="29" t="s">
        <v>213</v>
      </c>
      <c r="K87" s="29">
        <v>0</v>
      </c>
      <c r="L87" s="29"/>
      <c r="M87" s="37">
        <f>R87*Summary!$H$27</f>
        <v>0</v>
      </c>
      <c r="N87" s="37">
        <f>S87*Summary!$H$25</f>
        <v>0</v>
      </c>
      <c r="O87" s="26">
        <f>VLOOKUP(J87,'List Data'!A$2:C$94,3,0)</f>
        <v>0</v>
      </c>
      <c r="P87" s="26" t="str">
        <f>VLOOKUP(J87,'List Data'!A$2:B$94,2,0)</f>
        <v>--------</v>
      </c>
      <c r="Q87" s="26">
        <f t="shared" si="6"/>
        <v>0</v>
      </c>
      <c r="R87" s="26">
        <f t="shared" si="7"/>
        <v>0</v>
      </c>
      <c r="S87" s="26">
        <f t="shared" si="8"/>
        <v>0</v>
      </c>
      <c r="T87" s="26">
        <f>(IF(AND((O87="OP"),(I87="Child (0-7 years)")),VLOOKUP(K87,'OP Values'!$A$1:$Q$35,7),))*H87</f>
        <v>0</v>
      </c>
      <c r="U87" s="26">
        <f>(IF(O87="OP",VLOOKUP($Q87,'OP Values'!$A$1:$Q$35,17),))*H87</f>
        <v>0</v>
      </c>
      <c r="V87" s="26">
        <f>(IF(AND((O87="Pb"),(I87="Child (0-7 years)")),(VLOOKUP(Q87,Pb!$A$1:$AV$103,7)),0))*H87</f>
        <v>0</v>
      </c>
      <c r="W87" s="26">
        <f>(IF(AND((O87="Pb"),(I87="Child (0-7 years)")),(VLOOKUP(Q87,Pb!$C$2:$AV$103,20)),0))*H87</f>
        <v>0</v>
      </c>
      <c r="X87" s="26">
        <f>(IF(AND((O87="Pb"),(I87="Adult (&gt; 15 years)")),(VLOOKUP(Q87,Pb!$A$2:$AV$103,46)),0))*H87</f>
        <v>0</v>
      </c>
      <c r="Y87" s="26">
        <f>(IF(AND((O87="Hg"),(I87="Child (0-7 years)")),(VLOOKUP(Q87,'Hg Values'!$A$1:$M$30,3)),0))*H87</f>
        <v>0</v>
      </c>
      <c r="Z87" s="26">
        <f>(IF(AND((O87="Hg"),(I87="Child (0-7 years)")),(VLOOKUP(Q87,'Hg Values'!$A$1:$M$30,13)),0))*H87</f>
        <v>0</v>
      </c>
      <c r="AA87" s="5">
        <f>(((IF(AND((O87="CA"),(I87="Adult (&gt; 15 years)")),((Q87*1)/70)*(VLOOKUP(J87,CA_ingestion!A$1:J$78,4,0)),0))))/11</f>
        <v>0</v>
      </c>
      <c r="AB87" s="5">
        <f t="shared" si="9"/>
        <v>0</v>
      </c>
      <c r="AC87" s="5">
        <f>((IF(AND((O87="CA"),(I87="Adult (&gt; 15 years)")),(AB87*(VLOOKUP(J87,CA_ingestion!A$1:J$78,10,0))),0)))</f>
        <v>0</v>
      </c>
      <c r="AD87" s="5">
        <f t="shared" si="10"/>
        <v>0</v>
      </c>
      <c r="AE87" s="5">
        <f t="shared" si="11"/>
        <v>0</v>
      </c>
    </row>
    <row r="88" spans="1:31" ht="15.5">
      <c r="A88" s="29" t="s">
        <v>283</v>
      </c>
      <c r="B88" s="29">
        <v>0</v>
      </c>
      <c r="C88" s="29"/>
      <c r="D88" s="29"/>
      <c r="E88" s="26" t="str">
        <f>Summary!C$23</f>
        <v>Afghanistan</v>
      </c>
      <c r="F88" s="29"/>
      <c r="G88" s="29" t="s">
        <v>369</v>
      </c>
      <c r="H88" s="33">
        <f>VLOOKUP(G88,'List Data'!$A$100:$B$104,2,0)</f>
        <v>0</v>
      </c>
      <c r="I88" s="29" t="s">
        <v>213</v>
      </c>
      <c r="J88" s="29" t="s">
        <v>213</v>
      </c>
      <c r="K88" s="29">
        <v>0</v>
      </c>
      <c r="L88" s="29"/>
      <c r="M88" s="37">
        <f>R88*Summary!$H$27</f>
        <v>0</v>
      </c>
      <c r="N88" s="37">
        <f>S88*Summary!$H$25</f>
        <v>0</v>
      </c>
      <c r="O88" s="26">
        <f>VLOOKUP(J88,'List Data'!A$2:C$94,3,0)</f>
        <v>0</v>
      </c>
      <c r="P88" s="26" t="str">
        <f>VLOOKUP(J88,'List Data'!A$2:B$94,2,0)</f>
        <v>--------</v>
      </c>
      <c r="Q88" s="26">
        <f t="shared" si="6"/>
        <v>0</v>
      </c>
      <c r="R88" s="26">
        <f t="shared" si="7"/>
        <v>0</v>
      </c>
      <c r="S88" s="26">
        <f t="shared" si="8"/>
        <v>0</v>
      </c>
      <c r="T88" s="26">
        <f>(IF(AND((O88="OP"),(I88="Child (0-7 years)")),VLOOKUP(K88,'OP Values'!$A$1:$Q$35,7),))*H88</f>
        <v>0</v>
      </c>
      <c r="U88" s="26">
        <f>(IF(O88="OP",VLOOKUP($Q88,'OP Values'!$A$1:$Q$35,17),))*H88</f>
        <v>0</v>
      </c>
      <c r="V88" s="26">
        <f>(IF(AND((O88="Pb"),(I88="Child (0-7 years)")),(VLOOKUP(Q88,Pb!$A$1:$AV$103,7)),0))*H88</f>
        <v>0</v>
      </c>
      <c r="W88" s="26">
        <f>(IF(AND((O88="Pb"),(I88="Child (0-7 years)")),(VLOOKUP(Q88,Pb!$C$2:$AV$103,20)),0))*H88</f>
        <v>0</v>
      </c>
      <c r="X88" s="26">
        <f>(IF(AND((O88="Pb"),(I88="Adult (&gt; 15 years)")),(VLOOKUP(Q88,Pb!$A$2:$AV$103,46)),0))*H88</f>
        <v>0</v>
      </c>
      <c r="Y88" s="26">
        <f>(IF(AND((O88="Hg"),(I88="Child (0-7 years)")),(VLOOKUP(Q88,'Hg Values'!$A$1:$M$30,3)),0))*H88</f>
        <v>0</v>
      </c>
      <c r="Z88" s="26">
        <f>(IF(AND((O88="Hg"),(I88="Child (0-7 years)")),(VLOOKUP(Q88,'Hg Values'!$A$1:$M$30,13)),0))*H88</f>
        <v>0</v>
      </c>
      <c r="AA88" s="5">
        <f>(((IF(AND((O88="CA"),(I88="Adult (&gt; 15 years)")),((Q88*1)/70)*(VLOOKUP(J88,CA_ingestion!A$1:J$78,4,0)),0))))/11</f>
        <v>0</v>
      </c>
      <c r="AB88" s="5">
        <f t="shared" si="9"/>
        <v>0</v>
      </c>
      <c r="AC88" s="5">
        <f>((IF(AND((O88="CA"),(I88="Adult (&gt; 15 years)")),(AB88*(VLOOKUP(J88,CA_ingestion!A$1:J$78,10,0))),0)))</f>
        <v>0</v>
      </c>
      <c r="AD88" s="5">
        <f t="shared" si="10"/>
        <v>0</v>
      </c>
      <c r="AE88" s="5">
        <f t="shared" si="11"/>
        <v>0</v>
      </c>
    </row>
    <row r="89" spans="1:31" ht="15.5">
      <c r="A89" s="29" t="s">
        <v>283</v>
      </c>
      <c r="B89" s="29">
        <v>0</v>
      </c>
      <c r="C89" s="29"/>
      <c r="D89" s="29"/>
      <c r="E89" s="26" t="str">
        <f>Summary!C$23</f>
        <v>Afghanistan</v>
      </c>
      <c r="F89" s="29"/>
      <c r="G89" s="29" t="s">
        <v>369</v>
      </c>
      <c r="H89" s="33">
        <f>VLOOKUP(G89,'List Data'!$A$100:$B$104,2,0)</f>
        <v>0</v>
      </c>
      <c r="I89" s="29" t="s">
        <v>213</v>
      </c>
      <c r="J89" s="29" t="s">
        <v>213</v>
      </c>
      <c r="K89" s="29">
        <v>0</v>
      </c>
      <c r="L89" s="29"/>
      <c r="M89" s="37">
        <f>R89*Summary!$H$27</f>
        <v>0</v>
      </c>
      <c r="N89" s="37">
        <f>S89*Summary!$H$25</f>
        <v>0</v>
      </c>
      <c r="O89" s="26">
        <f>VLOOKUP(J89,'List Data'!A$2:C$94,3,0)</f>
        <v>0</v>
      </c>
      <c r="P89" s="26" t="str">
        <f>VLOOKUP(J89,'List Data'!A$2:B$94,2,0)</f>
        <v>--------</v>
      </c>
      <c r="Q89" s="26">
        <f t="shared" si="6"/>
        <v>0</v>
      </c>
      <c r="R89" s="26">
        <f t="shared" si="7"/>
        <v>0</v>
      </c>
      <c r="S89" s="26">
        <f t="shared" si="8"/>
        <v>0</v>
      </c>
      <c r="T89" s="26">
        <f>(IF(AND((O89="OP"),(I89="Child (0-7 years)")),VLOOKUP(K89,'OP Values'!$A$1:$Q$35,7),))*H89</f>
        <v>0</v>
      </c>
      <c r="U89" s="26">
        <f>(IF(O89="OP",VLOOKUP($Q89,'OP Values'!$A$1:$Q$35,17),))*H89</f>
        <v>0</v>
      </c>
      <c r="V89" s="26">
        <f>(IF(AND((O89="Pb"),(I89="Child (0-7 years)")),(VLOOKUP(Q89,Pb!$A$1:$AV$103,7)),0))*H89</f>
        <v>0</v>
      </c>
      <c r="W89" s="26">
        <f>(IF(AND((O89="Pb"),(I89="Child (0-7 years)")),(VLOOKUP(Q89,Pb!$C$2:$AV$103,20)),0))*H89</f>
        <v>0</v>
      </c>
      <c r="X89" s="26">
        <f>(IF(AND((O89="Pb"),(I89="Adult (&gt; 15 years)")),(VLOOKUP(Q89,Pb!$A$2:$AV$103,46)),0))*H89</f>
        <v>0</v>
      </c>
      <c r="Y89" s="26">
        <f>(IF(AND((O89="Hg"),(I89="Child (0-7 years)")),(VLOOKUP(Q89,'Hg Values'!$A$1:$M$30,3)),0))*H89</f>
        <v>0</v>
      </c>
      <c r="Z89" s="26">
        <f>(IF(AND((O89="Hg"),(I89="Child (0-7 years)")),(VLOOKUP(Q89,'Hg Values'!$A$1:$M$30,13)),0))*H89</f>
        <v>0</v>
      </c>
      <c r="AA89" s="5">
        <f>(((IF(AND((O89="CA"),(I89="Adult (&gt; 15 years)")),((Q89*1)/70)*(VLOOKUP(J89,CA_ingestion!A$1:J$78,4,0)),0))))/11</f>
        <v>0</v>
      </c>
      <c r="AB89" s="5">
        <f t="shared" si="9"/>
        <v>0</v>
      </c>
      <c r="AC89" s="5">
        <f>((IF(AND((O89="CA"),(I89="Adult (&gt; 15 years)")),(AB89*(VLOOKUP(J89,CA_ingestion!A$1:J$78,10,0))),0)))</f>
        <v>0</v>
      </c>
      <c r="AD89" s="5">
        <f t="shared" si="10"/>
        <v>0</v>
      </c>
      <c r="AE89" s="5">
        <f t="shared" si="11"/>
        <v>0</v>
      </c>
    </row>
    <row r="90" spans="1:31" ht="15.5">
      <c r="A90" s="29" t="s">
        <v>283</v>
      </c>
      <c r="B90" s="29">
        <v>0</v>
      </c>
      <c r="C90" s="29"/>
      <c r="D90" s="29"/>
      <c r="E90" s="26" t="str">
        <f>Summary!C$23</f>
        <v>Afghanistan</v>
      </c>
      <c r="F90" s="29"/>
      <c r="G90" s="29" t="s">
        <v>369</v>
      </c>
      <c r="H90" s="33">
        <f>VLOOKUP(G90,'List Data'!$A$100:$B$104,2,0)</f>
        <v>0</v>
      </c>
      <c r="I90" s="29" t="s">
        <v>213</v>
      </c>
      <c r="J90" s="29" t="s">
        <v>213</v>
      </c>
      <c r="K90" s="29">
        <v>0</v>
      </c>
      <c r="L90" s="29"/>
      <c r="M90" s="37">
        <f>R90*Summary!$H$27</f>
        <v>0</v>
      </c>
      <c r="N90" s="37">
        <f>S90*Summary!$H$25</f>
        <v>0</v>
      </c>
      <c r="O90" s="26">
        <f>VLOOKUP(J90,'List Data'!A$2:C$94,3,0)</f>
        <v>0</v>
      </c>
      <c r="P90" s="26" t="str">
        <f>VLOOKUP(J90,'List Data'!A$2:B$94,2,0)</f>
        <v>--------</v>
      </c>
      <c r="Q90" s="26">
        <f t="shared" si="6"/>
        <v>0</v>
      </c>
      <c r="R90" s="26">
        <f t="shared" si="7"/>
        <v>0</v>
      </c>
      <c r="S90" s="26">
        <f t="shared" si="8"/>
        <v>0</v>
      </c>
      <c r="T90" s="26">
        <f>(IF(AND((O90="OP"),(I90="Child (0-7 years)")),VLOOKUP(K90,'OP Values'!$A$1:$Q$35,7),))*H90</f>
        <v>0</v>
      </c>
      <c r="U90" s="26">
        <f>(IF(O90="OP",VLOOKUP($Q90,'OP Values'!$A$1:$Q$35,17),))*H90</f>
        <v>0</v>
      </c>
      <c r="V90" s="26">
        <f>(IF(AND((O90="Pb"),(I90="Child (0-7 years)")),(VLOOKUP(Q90,Pb!$A$1:$AV$103,7)),0))*H90</f>
        <v>0</v>
      </c>
      <c r="W90" s="26">
        <f>(IF(AND((O90="Pb"),(I90="Child (0-7 years)")),(VLOOKUP(Q90,Pb!$C$2:$AV$103,20)),0))*H90</f>
        <v>0</v>
      </c>
      <c r="X90" s="26">
        <f>(IF(AND((O90="Pb"),(I90="Adult (&gt; 15 years)")),(VLOOKUP(Q90,Pb!$A$2:$AV$103,46)),0))*H90</f>
        <v>0</v>
      </c>
      <c r="Y90" s="26">
        <f>(IF(AND((O90="Hg"),(I90="Child (0-7 years)")),(VLOOKUP(Q90,'Hg Values'!$A$1:$M$30,3)),0))*H90</f>
        <v>0</v>
      </c>
      <c r="Z90" s="26">
        <f>(IF(AND((O90="Hg"),(I90="Child (0-7 years)")),(VLOOKUP(Q90,'Hg Values'!$A$1:$M$30,13)),0))*H90</f>
        <v>0</v>
      </c>
      <c r="AA90" s="5">
        <f>(((IF(AND((O90="CA"),(I90="Adult (&gt; 15 years)")),((Q90*1)/70)*(VLOOKUP(J90,CA_ingestion!A$1:J$78,4,0)),0))))/11</f>
        <v>0</v>
      </c>
      <c r="AB90" s="5">
        <f t="shared" si="9"/>
        <v>0</v>
      </c>
      <c r="AC90" s="5">
        <f>((IF(AND((O90="CA"),(I90="Adult (&gt; 15 years)")),(AB90*(VLOOKUP(J90,CA_ingestion!A$1:J$78,10,0))),0)))</f>
        <v>0</v>
      </c>
      <c r="AD90" s="5">
        <f t="shared" si="10"/>
        <v>0</v>
      </c>
      <c r="AE90" s="5">
        <f t="shared" si="11"/>
        <v>0</v>
      </c>
    </row>
    <row r="91" spans="1:31" ht="15.5">
      <c r="A91" s="29" t="s">
        <v>283</v>
      </c>
      <c r="B91" s="29">
        <v>0</v>
      </c>
      <c r="C91" s="29"/>
      <c r="D91" s="29"/>
      <c r="E91" s="26" t="str">
        <f>Summary!C$23</f>
        <v>Afghanistan</v>
      </c>
      <c r="F91" s="29"/>
      <c r="G91" s="29" t="s">
        <v>369</v>
      </c>
      <c r="H91" s="33">
        <f>VLOOKUP(G91,'List Data'!$A$100:$B$104,2,0)</f>
        <v>0</v>
      </c>
      <c r="I91" s="29" t="s">
        <v>213</v>
      </c>
      <c r="J91" s="29" t="s">
        <v>213</v>
      </c>
      <c r="K91" s="29">
        <v>0</v>
      </c>
      <c r="L91" s="29"/>
      <c r="M91" s="37">
        <f>R91*Summary!$H$27</f>
        <v>0</v>
      </c>
      <c r="N91" s="37">
        <f>S91*Summary!$H$25</f>
        <v>0</v>
      </c>
      <c r="O91" s="26">
        <f>VLOOKUP(J91,'List Data'!A$2:C$94,3,0)</f>
        <v>0</v>
      </c>
      <c r="P91" s="26" t="str">
        <f>VLOOKUP(J91,'List Data'!A$2:B$94,2,0)</f>
        <v>--------</v>
      </c>
      <c r="Q91" s="26">
        <f t="shared" si="6"/>
        <v>0</v>
      </c>
      <c r="R91" s="26">
        <f t="shared" si="7"/>
        <v>0</v>
      </c>
      <c r="S91" s="26">
        <f t="shared" si="8"/>
        <v>0</v>
      </c>
      <c r="T91" s="26">
        <f>(IF(AND((O91="OP"),(I91="Child (0-7 years)")),VLOOKUP(K91,'OP Values'!$A$1:$Q$35,7),))*H91</f>
        <v>0</v>
      </c>
      <c r="U91" s="26">
        <f>(IF(O91="OP",VLOOKUP($Q91,'OP Values'!$A$1:$Q$35,17),))*H91</f>
        <v>0</v>
      </c>
      <c r="V91" s="26">
        <f>(IF(AND((O91="Pb"),(I91="Child (0-7 years)")),(VLOOKUP(Q91,Pb!$A$1:$AV$103,7)),0))*H91</f>
        <v>0</v>
      </c>
      <c r="W91" s="26">
        <f>(IF(AND((O91="Pb"),(I91="Child (0-7 years)")),(VLOOKUP(Q91,Pb!$C$2:$AV$103,20)),0))*H91</f>
        <v>0</v>
      </c>
      <c r="X91" s="26">
        <f>(IF(AND((O91="Pb"),(I91="Adult (&gt; 15 years)")),(VLOOKUP(Q91,Pb!$A$2:$AV$103,46)),0))*H91</f>
        <v>0</v>
      </c>
      <c r="Y91" s="26">
        <f>(IF(AND((O91="Hg"),(I91="Child (0-7 years)")),(VLOOKUP(Q91,'Hg Values'!$A$1:$M$30,3)),0))*H91</f>
        <v>0</v>
      </c>
      <c r="Z91" s="26">
        <f>(IF(AND((O91="Hg"),(I91="Child (0-7 years)")),(VLOOKUP(Q91,'Hg Values'!$A$1:$M$30,13)),0))*H91</f>
        <v>0</v>
      </c>
      <c r="AA91" s="5">
        <f>(((IF(AND((O91="CA"),(I91="Adult (&gt; 15 years)")),((Q91*1)/70)*(VLOOKUP(J91,CA_ingestion!A$1:J$78,4,0)),0))))/11</f>
        <v>0</v>
      </c>
      <c r="AB91" s="5">
        <f t="shared" si="9"/>
        <v>0</v>
      </c>
      <c r="AC91" s="5">
        <f>((IF(AND((O91="CA"),(I91="Adult (&gt; 15 years)")),(AB91*(VLOOKUP(J91,CA_ingestion!A$1:J$78,10,0))),0)))</f>
        <v>0</v>
      </c>
      <c r="AD91" s="5">
        <f t="shared" si="10"/>
        <v>0</v>
      </c>
      <c r="AE91" s="5">
        <f t="shared" si="11"/>
        <v>0</v>
      </c>
    </row>
    <row r="92" spans="1:31" ht="15.5">
      <c r="A92" s="29" t="s">
        <v>283</v>
      </c>
      <c r="B92" s="29">
        <v>0</v>
      </c>
      <c r="C92" s="29"/>
      <c r="D92" s="29"/>
      <c r="E92" s="26" t="str">
        <f>Summary!C$23</f>
        <v>Afghanistan</v>
      </c>
      <c r="F92" s="29"/>
      <c r="G92" s="29" t="s">
        <v>369</v>
      </c>
      <c r="H92" s="33">
        <f>VLOOKUP(G92,'List Data'!$A$100:$B$104,2,0)</f>
        <v>0</v>
      </c>
      <c r="I92" s="29" t="s">
        <v>213</v>
      </c>
      <c r="J92" s="29" t="s">
        <v>213</v>
      </c>
      <c r="K92" s="29">
        <v>0</v>
      </c>
      <c r="L92" s="29"/>
      <c r="M92" s="37">
        <f>R92*Summary!$H$27</f>
        <v>0</v>
      </c>
      <c r="N92" s="37">
        <f>S92*Summary!$H$25</f>
        <v>0</v>
      </c>
      <c r="O92" s="26">
        <f>VLOOKUP(J92,'List Data'!A$2:C$94,3,0)</f>
        <v>0</v>
      </c>
      <c r="P92" s="26" t="str">
        <f>VLOOKUP(J92,'List Data'!A$2:B$94,2,0)</f>
        <v>--------</v>
      </c>
      <c r="Q92" s="26">
        <f t="shared" si="6"/>
        <v>0</v>
      </c>
      <c r="R92" s="26">
        <f t="shared" si="7"/>
        <v>0</v>
      </c>
      <c r="S92" s="26">
        <f t="shared" si="8"/>
        <v>0</v>
      </c>
      <c r="T92" s="26">
        <f>(IF(AND((O92="OP"),(I92="Child (0-7 years)")),VLOOKUP(K92,'OP Values'!$A$1:$Q$35,7),))*H92</f>
        <v>0</v>
      </c>
      <c r="U92" s="26">
        <f>(IF(O92="OP",VLOOKUP($Q92,'OP Values'!$A$1:$Q$35,17),))*H92</f>
        <v>0</v>
      </c>
      <c r="V92" s="26">
        <f>(IF(AND((O92="Pb"),(I92="Child (0-7 years)")),(VLOOKUP(Q92,Pb!$A$1:$AV$103,7)),0))*H92</f>
        <v>0</v>
      </c>
      <c r="W92" s="26">
        <f>(IF(AND((O92="Pb"),(I92="Child (0-7 years)")),(VLOOKUP(Q92,Pb!$C$2:$AV$103,20)),0))*H92</f>
        <v>0</v>
      </c>
      <c r="X92" s="26">
        <f>(IF(AND((O92="Pb"),(I92="Adult (&gt; 15 years)")),(VLOOKUP(Q92,Pb!$A$2:$AV$103,46)),0))*H92</f>
        <v>0</v>
      </c>
      <c r="Y92" s="26">
        <f>(IF(AND((O92="Hg"),(I92="Child (0-7 years)")),(VLOOKUP(Q92,'Hg Values'!$A$1:$M$30,3)),0))*H92</f>
        <v>0</v>
      </c>
      <c r="Z92" s="26">
        <f>(IF(AND((O92="Hg"),(I92="Child (0-7 years)")),(VLOOKUP(Q92,'Hg Values'!$A$1:$M$30,13)),0))*H92</f>
        <v>0</v>
      </c>
      <c r="AA92" s="5">
        <f>(((IF(AND((O92="CA"),(I92="Adult (&gt; 15 years)")),((Q92*1)/70)*(VLOOKUP(J92,CA_ingestion!A$1:J$78,4,0)),0))))/11</f>
        <v>0</v>
      </c>
      <c r="AB92" s="5">
        <f t="shared" si="9"/>
        <v>0</v>
      </c>
      <c r="AC92" s="5">
        <f>((IF(AND((O92="CA"),(I92="Adult (&gt; 15 years)")),(AB92*(VLOOKUP(J92,CA_ingestion!A$1:J$78,10,0))),0)))</f>
        <v>0</v>
      </c>
      <c r="AD92" s="5">
        <f t="shared" si="10"/>
        <v>0</v>
      </c>
      <c r="AE92" s="5">
        <f t="shared" si="11"/>
        <v>0</v>
      </c>
    </row>
    <row r="93" spans="1:31" ht="15.5">
      <c r="A93" s="29" t="s">
        <v>283</v>
      </c>
      <c r="B93" s="29">
        <v>0</v>
      </c>
      <c r="C93" s="29"/>
      <c r="D93" s="29"/>
      <c r="E93" s="26" t="str">
        <f>Summary!C$23</f>
        <v>Afghanistan</v>
      </c>
      <c r="F93" s="29"/>
      <c r="G93" s="29" t="s">
        <v>369</v>
      </c>
      <c r="H93" s="33">
        <f>VLOOKUP(G93,'List Data'!$A$100:$B$104,2,0)</f>
        <v>0</v>
      </c>
      <c r="I93" s="29" t="s">
        <v>213</v>
      </c>
      <c r="J93" s="29" t="s">
        <v>213</v>
      </c>
      <c r="K93" s="29">
        <v>0</v>
      </c>
      <c r="L93" s="29"/>
      <c r="M93" s="37">
        <f>R93*Summary!$H$27</f>
        <v>0</v>
      </c>
      <c r="N93" s="37">
        <f>S93*Summary!$H$25</f>
        <v>0</v>
      </c>
      <c r="O93" s="26">
        <f>VLOOKUP(J93,'List Data'!A$2:C$94,3,0)</f>
        <v>0</v>
      </c>
      <c r="P93" s="26" t="str">
        <f>VLOOKUP(J93,'List Data'!A$2:B$94,2,0)</f>
        <v>--------</v>
      </c>
      <c r="Q93" s="26">
        <f t="shared" si="6"/>
        <v>0</v>
      </c>
      <c r="R93" s="26">
        <f t="shared" si="7"/>
        <v>0</v>
      </c>
      <c r="S93" s="26">
        <f t="shared" si="8"/>
        <v>0</v>
      </c>
      <c r="T93" s="26">
        <f>(IF(AND((O93="OP"),(I93="Child (0-7 years)")),VLOOKUP(K93,'OP Values'!$A$1:$Q$35,7),))*H93</f>
        <v>0</v>
      </c>
      <c r="U93" s="26">
        <f>(IF(O93="OP",VLOOKUP($Q93,'OP Values'!$A$1:$Q$35,17),))*H93</f>
        <v>0</v>
      </c>
      <c r="V93" s="26">
        <f>(IF(AND((O93="Pb"),(I93="Child (0-7 years)")),(VLOOKUP(Q93,Pb!$A$1:$AV$103,7)),0))*H93</f>
        <v>0</v>
      </c>
      <c r="W93" s="26">
        <f>(IF(AND((O93="Pb"),(I93="Child (0-7 years)")),(VLOOKUP(Q93,Pb!$C$2:$AV$103,20)),0))*H93</f>
        <v>0</v>
      </c>
      <c r="X93" s="26">
        <f>(IF(AND((O93="Pb"),(I93="Adult (&gt; 15 years)")),(VLOOKUP(Q93,Pb!$A$2:$AV$103,46)),0))*H93</f>
        <v>0</v>
      </c>
      <c r="Y93" s="26">
        <f>(IF(AND((O93="Hg"),(I93="Child (0-7 years)")),(VLOOKUP(Q93,'Hg Values'!$A$1:$M$30,3)),0))*H93</f>
        <v>0</v>
      </c>
      <c r="Z93" s="26">
        <f>(IF(AND((O93="Hg"),(I93="Child (0-7 years)")),(VLOOKUP(Q93,'Hg Values'!$A$1:$M$30,13)),0))*H93</f>
        <v>0</v>
      </c>
      <c r="AA93" s="5">
        <f>(((IF(AND((O93="CA"),(I93="Adult (&gt; 15 years)")),((Q93*1)/70)*(VLOOKUP(J93,CA_ingestion!A$1:J$78,4,0)),0))))/11</f>
        <v>0</v>
      </c>
      <c r="AB93" s="5">
        <f t="shared" si="9"/>
        <v>0</v>
      </c>
      <c r="AC93" s="5">
        <f>((IF(AND((O93="CA"),(I93="Adult (&gt; 15 years)")),(AB93*(VLOOKUP(J93,CA_ingestion!A$1:J$78,10,0))),0)))</f>
        <v>0</v>
      </c>
      <c r="AD93" s="5">
        <f t="shared" si="10"/>
        <v>0</v>
      </c>
      <c r="AE93" s="5">
        <f t="shared" si="11"/>
        <v>0</v>
      </c>
    </row>
    <row r="94" spans="1:31" ht="15.5">
      <c r="A94" s="29" t="s">
        <v>283</v>
      </c>
      <c r="B94" s="29">
        <v>0</v>
      </c>
      <c r="C94" s="29"/>
      <c r="D94" s="29"/>
      <c r="E94" s="26" t="str">
        <f>Summary!C$23</f>
        <v>Afghanistan</v>
      </c>
      <c r="F94" s="29"/>
      <c r="G94" s="29" t="s">
        <v>369</v>
      </c>
      <c r="H94" s="33">
        <f>VLOOKUP(G94,'List Data'!$A$100:$B$104,2,0)</f>
        <v>0</v>
      </c>
      <c r="I94" s="29" t="s">
        <v>213</v>
      </c>
      <c r="J94" s="29" t="s">
        <v>213</v>
      </c>
      <c r="K94" s="29">
        <v>0</v>
      </c>
      <c r="L94" s="29"/>
      <c r="M94" s="37">
        <f>R94*Summary!$H$27</f>
        <v>0</v>
      </c>
      <c r="N94" s="37">
        <f>S94*Summary!$H$25</f>
        <v>0</v>
      </c>
      <c r="O94" s="26">
        <f>VLOOKUP(J94,'List Data'!A$2:C$94,3,0)</f>
        <v>0</v>
      </c>
      <c r="P94" s="26" t="str">
        <f>VLOOKUP(J94,'List Data'!A$2:B$94,2,0)</f>
        <v>--------</v>
      </c>
      <c r="Q94" s="26">
        <f t="shared" si="6"/>
        <v>0</v>
      </c>
      <c r="R94" s="26">
        <f t="shared" si="7"/>
        <v>0</v>
      </c>
      <c r="S94" s="26">
        <f t="shared" si="8"/>
        <v>0</v>
      </c>
      <c r="T94" s="26">
        <f>(IF(AND((O94="OP"),(I94="Child (0-7 years)")),VLOOKUP(K94,'OP Values'!$A$1:$Q$35,7),))*H94</f>
        <v>0</v>
      </c>
      <c r="U94" s="26">
        <f>(IF(O94="OP",VLOOKUP($Q94,'OP Values'!$A$1:$Q$35,17),))*H94</f>
        <v>0</v>
      </c>
      <c r="V94" s="26">
        <f>(IF(AND((O94="Pb"),(I94="Child (0-7 years)")),(VLOOKUP(Q94,Pb!$A$1:$AV$103,7)),0))*H94</f>
        <v>0</v>
      </c>
      <c r="W94" s="26">
        <f>(IF(AND((O94="Pb"),(I94="Child (0-7 years)")),(VLOOKUP(Q94,Pb!$C$2:$AV$103,20)),0))*H94</f>
        <v>0</v>
      </c>
      <c r="X94" s="26">
        <f>(IF(AND((O94="Pb"),(I94="Adult (&gt; 15 years)")),(VLOOKUP(Q94,Pb!$A$2:$AV$103,46)),0))*H94</f>
        <v>0</v>
      </c>
      <c r="Y94" s="26">
        <f>(IF(AND((O94="Hg"),(I94="Child (0-7 years)")),(VLOOKUP(Q94,'Hg Values'!$A$1:$M$30,3)),0))*H94</f>
        <v>0</v>
      </c>
      <c r="Z94" s="26">
        <f>(IF(AND((O94="Hg"),(I94="Child (0-7 years)")),(VLOOKUP(Q94,'Hg Values'!$A$1:$M$30,13)),0))*H94</f>
        <v>0</v>
      </c>
      <c r="AA94" s="5">
        <f>(((IF(AND((O94="CA"),(I94="Adult (&gt; 15 years)")),((Q94*1)/70)*(VLOOKUP(J94,CA_ingestion!A$1:J$78,4,0)),0))))/11</f>
        <v>0</v>
      </c>
      <c r="AB94" s="5">
        <f t="shared" si="9"/>
        <v>0</v>
      </c>
      <c r="AC94" s="5">
        <f>((IF(AND((O94="CA"),(I94="Adult (&gt; 15 years)")),(AB94*(VLOOKUP(J94,CA_ingestion!A$1:J$78,10,0))),0)))</f>
        <v>0</v>
      </c>
      <c r="AD94" s="5">
        <f t="shared" si="10"/>
        <v>0</v>
      </c>
      <c r="AE94" s="5">
        <f t="shared" si="11"/>
        <v>0</v>
      </c>
    </row>
    <row r="95" spans="1:31" ht="15.5">
      <c r="A95" s="29" t="s">
        <v>283</v>
      </c>
      <c r="B95" s="29">
        <v>0</v>
      </c>
      <c r="C95" s="29"/>
      <c r="D95" s="29"/>
      <c r="E95" s="26" t="str">
        <f>Summary!C$23</f>
        <v>Afghanistan</v>
      </c>
      <c r="F95" s="29"/>
      <c r="G95" s="29" t="s">
        <v>369</v>
      </c>
      <c r="H95" s="33">
        <f>VLOOKUP(G95,'List Data'!$A$100:$B$104,2,0)</f>
        <v>0</v>
      </c>
      <c r="I95" s="29" t="s">
        <v>213</v>
      </c>
      <c r="J95" s="29" t="s">
        <v>213</v>
      </c>
      <c r="K95" s="29">
        <v>0</v>
      </c>
      <c r="L95" s="29"/>
      <c r="M95" s="37">
        <f>R95*Summary!$H$27</f>
        <v>0</v>
      </c>
      <c r="N95" s="37">
        <f>S95*Summary!$H$25</f>
        <v>0</v>
      </c>
      <c r="O95" s="26">
        <f>VLOOKUP(J95,'List Data'!A$2:C$94,3,0)</f>
        <v>0</v>
      </c>
      <c r="P95" s="26" t="str">
        <f>VLOOKUP(J95,'List Data'!A$2:B$94,2,0)</f>
        <v>--------</v>
      </c>
      <c r="Q95" s="26">
        <f t="shared" si="6"/>
        <v>0</v>
      </c>
      <c r="R95" s="26">
        <f t="shared" si="7"/>
        <v>0</v>
      </c>
      <c r="S95" s="26">
        <f t="shared" si="8"/>
        <v>0</v>
      </c>
      <c r="T95" s="26">
        <f>(IF(AND((O95="OP"),(I95="Child (0-7 years)")),VLOOKUP(K95,'OP Values'!$A$1:$Q$35,7),))*H95</f>
        <v>0</v>
      </c>
      <c r="U95" s="26">
        <f>(IF(O95="OP",VLOOKUP($Q95,'OP Values'!$A$1:$Q$35,17),))*H95</f>
        <v>0</v>
      </c>
      <c r="V95" s="26">
        <f>(IF(AND((O95="Pb"),(I95="Child (0-7 years)")),(VLOOKUP(Q95,Pb!$A$1:$AV$103,7)),0))*H95</f>
        <v>0</v>
      </c>
      <c r="W95" s="26">
        <f>(IF(AND((O95="Pb"),(I95="Child (0-7 years)")),(VLOOKUP(Q95,Pb!$C$2:$AV$103,20)),0))*H95</f>
        <v>0</v>
      </c>
      <c r="X95" s="26">
        <f>(IF(AND((O95="Pb"),(I95="Adult (&gt; 15 years)")),(VLOOKUP(Q95,Pb!$A$2:$AV$103,46)),0))*H95</f>
        <v>0</v>
      </c>
      <c r="Y95" s="26">
        <f>(IF(AND((O95="Hg"),(I95="Child (0-7 years)")),(VLOOKUP(Q95,'Hg Values'!$A$1:$M$30,3)),0))*H95</f>
        <v>0</v>
      </c>
      <c r="Z95" s="26">
        <f>(IF(AND((O95="Hg"),(I95="Child (0-7 years)")),(VLOOKUP(Q95,'Hg Values'!$A$1:$M$30,13)),0))*H95</f>
        <v>0</v>
      </c>
      <c r="AA95" s="5">
        <f>(((IF(AND((O95="CA"),(I95="Adult (&gt; 15 years)")),((Q95*1)/70)*(VLOOKUP(J95,CA_ingestion!A$1:J$78,4,0)),0))))/11</f>
        <v>0</v>
      </c>
      <c r="AB95" s="5">
        <f t="shared" si="9"/>
        <v>0</v>
      </c>
      <c r="AC95" s="5">
        <f>((IF(AND((O95="CA"),(I95="Adult (&gt; 15 years)")),(AB95*(VLOOKUP(J95,CA_ingestion!A$1:J$78,10,0))),0)))</f>
        <v>0</v>
      </c>
      <c r="AD95" s="5">
        <f t="shared" si="10"/>
        <v>0</v>
      </c>
      <c r="AE95" s="5">
        <f t="shared" si="11"/>
        <v>0</v>
      </c>
    </row>
    <row r="96" spans="1:31" ht="15.5">
      <c r="A96" s="29" t="s">
        <v>283</v>
      </c>
      <c r="B96" s="29">
        <v>0</v>
      </c>
      <c r="C96" s="29"/>
      <c r="D96" s="29"/>
      <c r="E96" s="26" t="str">
        <f>Summary!C$23</f>
        <v>Afghanistan</v>
      </c>
      <c r="F96" s="29"/>
      <c r="G96" s="29" t="s">
        <v>369</v>
      </c>
      <c r="H96" s="33">
        <f>VLOOKUP(G96,'List Data'!$A$100:$B$104,2,0)</f>
        <v>0</v>
      </c>
      <c r="I96" s="29" t="s">
        <v>213</v>
      </c>
      <c r="J96" s="29" t="s">
        <v>213</v>
      </c>
      <c r="K96" s="29">
        <v>0</v>
      </c>
      <c r="L96" s="29"/>
      <c r="M96" s="37">
        <f>R96*Summary!$H$27</f>
        <v>0</v>
      </c>
      <c r="N96" s="37">
        <f>S96*Summary!$H$25</f>
        <v>0</v>
      </c>
      <c r="O96" s="26">
        <f>VLOOKUP(J96,'List Data'!A$2:C$94,3,0)</f>
        <v>0</v>
      </c>
      <c r="P96" s="26" t="str">
        <f>VLOOKUP(J96,'List Data'!A$2:B$94,2,0)</f>
        <v>--------</v>
      </c>
      <c r="Q96" s="26">
        <f t="shared" si="6"/>
        <v>0</v>
      </c>
      <c r="R96" s="26">
        <f t="shared" si="7"/>
        <v>0</v>
      </c>
      <c r="S96" s="26">
        <f t="shared" si="8"/>
        <v>0</v>
      </c>
      <c r="T96" s="26">
        <f>(IF(AND((O96="OP"),(I96="Child (0-7 years)")),VLOOKUP(K96,'OP Values'!$A$1:$Q$35,7),))*H96</f>
        <v>0</v>
      </c>
      <c r="U96" s="26">
        <f>(IF(O96="OP",VLOOKUP($Q96,'OP Values'!$A$1:$Q$35,17),))*H96</f>
        <v>0</v>
      </c>
      <c r="V96" s="26">
        <f>(IF(AND((O96="Pb"),(I96="Child (0-7 years)")),(VLOOKUP(Q96,Pb!$A$1:$AV$103,7)),0))*H96</f>
        <v>0</v>
      </c>
      <c r="W96" s="26">
        <f>(IF(AND((O96="Pb"),(I96="Child (0-7 years)")),(VLOOKUP(Q96,Pb!$C$2:$AV$103,20)),0))*H96</f>
        <v>0</v>
      </c>
      <c r="X96" s="26">
        <f>(IF(AND((O96="Pb"),(I96="Adult (&gt; 15 years)")),(VLOOKUP(Q96,Pb!$A$2:$AV$103,46)),0))*H96</f>
        <v>0</v>
      </c>
      <c r="Y96" s="26">
        <f>(IF(AND((O96="Hg"),(I96="Child (0-7 years)")),(VLOOKUP(Q96,'Hg Values'!$A$1:$M$30,3)),0))*H96</f>
        <v>0</v>
      </c>
      <c r="Z96" s="26">
        <f>(IF(AND((O96="Hg"),(I96="Child (0-7 years)")),(VLOOKUP(Q96,'Hg Values'!$A$1:$M$30,13)),0))*H96</f>
        <v>0</v>
      </c>
      <c r="AA96" s="5">
        <f>(((IF(AND((O96="CA"),(I96="Adult (&gt; 15 years)")),((Q96*1)/70)*(VLOOKUP(J96,CA_ingestion!A$1:J$78,4,0)),0))))/11</f>
        <v>0</v>
      </c>
      <c r="AB96" s="5">
        <f t="shared" si="9"/>
        <v>0</v>
      </c>
      <c r="AC96" s="5">
        <f>((IF(AND((O96="CA"),(I96="Adult (&gt; 15 years)")),(AB96*(VLOOKUP(J96,CA_ingestion!A$1:J$78,10,0))),0)))</f>
        <v>0</v>
      </c>
      <c r="AD96" s="5">
        <f t="shared" si="10"/>
        <v>0</v>
      </c>
      <c r="AE96" s="5">
        <f t="shared" si="11"/>
        <v>0</v>
      </c>
    </row>
    <row r="97" spans="1:31" ht="15.5">
      <c r="A97" s="29" t="s">
        <v>283</v>
      </c>
      <c r="B97" s="29">
        <v>0</v>
      </c>
      <c r="C97" s="29"/>
      <c r="D97" s="29"/>
      <c r="E97" s="26" t="str">
        <f>Summary!C$23</f>
        <v>Afghanistan</v>
      </c>
      <c r="F97" s="29"/>
      <c r="G97" s="29" t="s">
        <v>369</v>
      </c>
      <c r="H97" s="33">
        <f>VLOOKUP(G97,'List Data'!$A$100:$B$104,2,0)</f>
        <v>0</v>
      </c>
      <c r="I97" s="29" t="s">
        <v>213</v>
      </c>
      <c r="J97" s="29" t="s">
        <v>213</v>
      </c>
      <c r="K97" s="29">
        <v>0</v>
      </c>
      <c r="L97" s="29"/>
      <c r="M97" s="37">
        <f>R97*Summary!$H$27</f>
        <v>0</v>
      </c>
      <c r="N97" s="37">
        <f>S97*Summary!$H$25</f>
        <v>0</v>
      </c>
      <c r="O97" s="26">
        <f>VLOOKUP(J97,'List Data'!A$2:C$94,3,0)</f>
        <v>0</v>
      </c>
      <c r="P97" s="26" t="str">
        <f>VLOOKUP(J97,'List Data'!A$2:B$94,2,0)</f>
        <v>--------</v>
      </c>
      <c r="Q97" s="26">
        <f t="shared" si="6"/>
        <v>0</v>
      </c>
      <c r="R97" s="26">
        <f t="shared" si="7"/>
        <v>0</v>
      </c>
      <c r="S97" s="26">
        <f t="shared" si="8"/>
        <v>0</v>
      </c>
      <c r="T97" s="26">
        <f>(IF(AND((O97="OP"),(I97="Child (0-7 years)")),VLOOKUP(K97,'OP Values'!$A$1:$Q$35,7),))*H97</f>
        <v>0</v>
      </c>
      <c r="U97" s="26">
        <f>(IF(O97="OP",VLOOKUP($Q97,'OP Values'!$A$1:$Q$35,17),))*H97</f>
        <v>0</v>
      </c>
      <c r="V97" s="26">
        <f>(IF(AND((O97="Pb"),(I97="Child (0-7 years)")),(VLOOKUP(Q97,Pb!$A$1:$AV$103,7)),0))*H97</f>
        <v>0</v>
      </c>
      <c r="W97" s="26">
        <f>(IF(AND((O97="Pb"),(I97="Child (0-7 years)")),(VLOOKUP(Q97,Pb!$C$2:$AV$103,20)),0))*H97</f>
        <v>0</v>
      </c>
      <c r="X97" s="26">
        <f>(IF(AND((O97="Pb"),(I97="Adult (&gt; 15 years)")),(VLOOKUP(Q97,Pb!$A$2:$AV$103,46)),0))*H97</f>
        <v>0</v>
      </c>
      <c r="Y97" s="26">
        <f>(IF(AND((O97="Hg"),(I97="Child (0-7 years)")),(VLOOKUP(Q97,'Hg Values'!$A$1:$M$30,3)),0))*H97</f>
        <v>0</v>
      </c>
      <c r="Z97" s="26">
        <f>(IF(AND((O97="Hg"),(I97="Child (0-7 years)")),(VLOOKUP(Q97,'Hg Values'!$A$1:$M$30,13)),0))*H97</f>
        <v>0</v>
      </c>
      <c r="AA97" s="5">
        <f>(((IF(AND((O97="CA"),(I97="Adult (&gt; 15 years)")),((Q97*1)/70)*(VLOOKUP(J97,CA_ingestion!A$1:J$78,4,0)),0))))/11</f>
        <v>0</v>
      </c>
      <c r="AB97" s="5">
        <f t="shared" si="9"/>
        <v>0</v>
      </c>
      <c r="AC97" s="5">
        <f>((IF(AND((O97="CA"),(I97="Adult (&gt; 15 years)")),(AB97*(VLOOKUP(J97,CA_ingestion!A$1:J$78,10,0))),0)))</f>
        <v>0</v>
      </c>
      <c r="AD97" s="5">
        <f t="shared" si="10"/>
        <v>0</v>
      </c>
      <c r="AE97" s="5">
        <f t="shared" si="11"/>
        <v>0</v>
      </c>
    </row>
    <row r="98" spans="1:31" ht="15.5">
      <c r="A98" s="29" t="s">
        <v>283</v>
      </c>
      <c r="B98" s="29">
        <v>0</v>
      </c>
      <c r="C98" s="29"/>
      <c r="D98" s="29"/>
      <c r="E98" s="26" t="str">
        <f>Summary!C$23</f>
        <v>Afghanistan</v>
      </c>
      <c r="F98" s="29"/>
      <c r="G98" s="29" t="s">
        <v>369</v>
      </c>
      <c r="H98" s="33">
        <f>VLOOKUP(G98,'List Data'!$A$100:$B$104,2,0)</f>
        <v>0</v>
      </c>
      <c r="I98" s="29" t="s">
        <v>213</v>
      </c>
      <c r="J98" s="29" t="s">
        <v>213</v>
      </c>
      <c r="K98" s="29">
        <v>0</v>
      </c>
      <c r="L98" s="29"/>
      <c r="M98" s="37">
        <f>R98*Summary!$H$27</f>
        <v>0</v>
      </c>
      <c r="N98" s="37">
        <f>S98*Summary!$H$25</f>
        <v>0</v>
      </c>
      <c r="O98" s="26">
        <f>VLOOKUP(J98,'List Data'!A$2:C$94,3,0)</f>
        <v>0</v>
      </c>
      <c r="P98" s="26" t="str">
        <f>VLOOKUP(J98,'List Data'!A$2:B$94,2,0)</f>
        <v>--------</v>
      </c>
      <c r="Q98" s="26">
        <f t="shared" si="6"/>
        <v>0</v>
      </c>
      <c r="R98" s="26">
        <f t="shared" si="7"/>
        <v>0</v>
      </c>
      <c r="S98" s="26">
        <f t="shared" si="8"/>
        <v>0</v>
      </c>
      <c r="T98" s="26">
        <f>(IF(AND((O98="OP"),(I98="Child (0-7 years)")),VLOOKUP(K98,'OP Values'!$A$1:$Q$35,7),))*H98</f>
        <v>0</v>
      </c>
      <c r="U98" s="26">
        <f>(IF(O98="OP",VLOOKUP($Q98,'OP Values'!$A$1:$Q$35,17),))*H98</f>
        <v>0</v>
      </c>
      <c r="V98" s="26">
        <f>(IF(AND((O98="Pb"),(I98="Child (0-7 years)")),(VLOOKUP(Q98,Pb!$A$1:$AV$103,7)),0))*H98</f>
        <v>0</v>
      </c>
      <c r="W98" s="26">
        <f>(IF(AND((O98="Pb"),(I98="Child (0-7 years)")),(VLOOKUP(Q98,Pb!$C$2:$AV$103,20)),0))*H98</f>
        <v>0</v>
      </c>
      <c r="X98" s="26">
        <f>(IF(AND((O98="Pb"),(I98="Adult (&gt; 15 years)")),(VLOOKUP(Q98,Pb!$A$2:$AV$103,46)),0))*H98</f>
        <v>0</v>
      </c>
      <c r="Y98" s="26">
        <f>(IF(AND((O98="Hg"),(I98="Child (0-7 years)")),(VLOOKUP(Q98,'Hg Values'!$A$1:$M$30,3)),0))*H98</f>
        <v>0</v>
      </c>
      <c r="Z98" s="26">
        <f>(IF(AND((O98="Hg"),(I98="Child (0-7 years)")),(VLOOKUP(Q98,'Hg Values'!$A$1:$M$30,13)),0))*H98</f>
        <v>0</v>
      </c>
      <c r="AA98" s="5">
        <f>(((IF(AND((O98="CA"),(I98="Adult (&gt; 15 years)")),((Q98*1)/70)*(VLOOKUP(J98,CA_ingestion!A$1:J$78,4,0)),0))))/11</f>
        <v>0</v>
      </c>
      <c r="AB98" s="5">
        <f t="shared" si="9"/>
        <v>0</v>
      </c>
      <c r="AC98" s="5">
        <f>((IF(AND((O98="CA"),(I98="Adult (&gt; 15 years)")),(AB98*(VLOOKUP(J98,CA_ingestion!A$1:J$78,10,0))),0)))</f>
        <v>0</v>
      </c>
      <c r="AD98" s="5">
        <f t="shared" si="10"/>
        <v>0</v>
      </c>
      <c r="AE98" s="5">
        <f t="shared" si="11"/>
        <v>0</v>
      </c>
    </row>
    <row r="99" spans="1:31" ht="15.5">
      <c r="A99" s="29" t="s">
        <v>283</v>
      </c>
      <c r="B99" s="29">
        <v>0</v>
      </c>
      <c r="C99" s="29"/>
      <c r="D99" s="29"/>
      <c r="E99" s="26" t="str">
        <f>Summary!C$23</f>
        <v>Afghanistan</v>
      </c>
      <c r="F99" s="29"/>
      <c r="G99" s="29" t="s">
        <v>369</v>
      </c>
      <c r="H99" s="33">
        <f>VLOOKUP(G99,'List Data'!$A$100:$B$104,2,0)</f>
        <v>0</v>
      </c>
      <c r="I99" s="29" t="s">
        <v>213</v>
      </c>
      <c r="J99" s="29" t="s">
        <v>213</v>
      </c>
      <c r="K99" s="29">
        <v>0</v>
      </c>
      <c r="L99" s="29"/>
      <c r="M99" s="37">
        <f>R99*Summary!$H$27</f>
        <v>0</v>
      </c>
      <c r="N99" s="37">
        <f>S99*Summary!$H$25</f>
        <v>0</v>
      </c>
      <c r="O99" s="26">
        <f>VLOOKUP(J99,'List Data'!A$2:C$94,3,0)</f>
        <v>0</v>
      </c>
      <c r="P99" s="26" t="str">
        <f>VLOOKUP(J99,'List Data'!A$2:B$94,2,0)</f>
        <v>--------</v>
      </c>
      <c r="Q99" s="26">
        <f t="shared" si="6"/>
        <v>0</v>
      </c>
      <c r="R99" s="26">
        <f t="shared" si="7"/>
        <v>0</v>
      </c>
      <c r="S99" s="26">
        <f t="shared" si="8"/>
        <v>0</v>
      </c>
      <c r="T99" s="26">
        <f>(IF(AND((O99="OP"),(I99="Child (0-7 years)")),VLOOKUP(K99,'OP Values'!$A$1:$Q$35,7),))*H99</f>
        <v>0</v>
      </c>
      <c r="U99" s="26">
        <f>(IF(O99="OP",VLOOKUP($Q99,'OP Values'!$A$1:$Q$35,17),))*H99</f>
        <v>0</v>
      </c>
      <c r="V99" s="26">
        <f>(IF(AND((O99="Pb"),(I99="Child (0-7 years)")),(VLOOKUP(Q99,Pb!$A$1:$AV$103,7)),0))*H99</f>
        <v>0</v>
      </c>
      <c r="W99" s="26">
        <f>(IF(AND((O99="Pb"),(I99="Child (0-7 years)")),(VLOOKUP(Q99,Pb!$C$2:$AV$103,20)),0))*H99</f>
        <v>0</v>
      </c>
      <c r="X99" s="26">
        <f>(IF(AND((O99="Pb"),(I99="Adult (&gt; 15 years)")),(VLOOKUP(Q99,Pb!$A$2:$AV$103,46)),0))*H99</f>
        <v>0</v>
      </c>
      <c r="Y99" s="26">
        <f>(IF(AND((O99="Hg"),(I99="Child (0-7 years)")),(VLOOKUP(Q99,'Hg Values'!$A$1:$M$30,3)),0))*H99</f>
        <v>0</v>
      </c>
      <c r="Z99" s="26">
        <f>(IF(AND((O99="Hg"),(I99="Child (0-7 years)")),(VLOOKUP(Q99,'Hg Values'!$A$1:$M$30,13)),0))*H99</f>
        <v>0</v>
      </c>
      <c r="AA99" s="5">
        <f>(((IF(AND((O99="CA"),(I99="Adult (&gt; 15 years)")),((Q99*1)/70)*(VLOOKUP(J99,CA_ingestion!A$1:J$78,4,0)),0))))/11</f>
        <v>0</v>
      </c>
      <c r="AB99" s="5">
        <f t="shared" si="9"/>
        <v>0</v>
      </c>
      <c r="AC99" s="5">
        <f>((IF(AND((O99="CA"),(I99="Adult (&gt; 15 years)")),(AB99*(VLOOKUP(J99,CA_ingestion!A$1:J$78,10,0))),0)))</f>
        <v>0</v>
      </c>
      <c r="AD99" s="5">
        <f t="shared" si="10"/>
        <v>0</v>
      </c>
      <c r="AE99" s="5">
        <f t="shared" si="11"/>
        <v>0</v>
      </c>
    </row>
    <row r="100" spans="1:31" ht="15.5">
      <c r="A100" s="29" t="s">
        <v>283</v>
      </c>
      <c r="B100" s="29">
        <v>0</v>
      </c>
      <c r="C100" s="29"/>
      <c r="D100" s="29"/>
      <c r="E100" s="26" t="str">
        <f>Summary!C$23</f>
        <v>Afghanistan</v>
      </c>
      <c r="F100" s="29"/>
      <c r="G100" s="29" t="s">
        <v>369</v>
      </c>
      <c r="H100" s="33">
        <f>VLOOKUP(G100,'List Data'!$A$100:$B$104,2,0)</f>
        <v>0</v>
      </c>
      <c r="I100" s="29" t="s">
        <v>213</v>
      </c>
      <c r="J100" s="29" t="s">
        <v>213</v>
      </c>
      <c r="K100" s="29">
        <v>0</v>
      </c>
      <c r="L100" s="29"/>
      <c r="M100" s="37">
        <f>R100*Summary!$H$27</f>
        <v>0</v>
      </c>
      <c r="N100" s="37">
        <f>S100*Summary!$H$25</f>
        <v>0</v>
      </c>
      <c r="O100" s="26">
        <f>VLOOKUP(J100,'List Data'!A$2:C$94,3,0)</f>
        <v>0</v>
      </c>
      <c r="P100" s="26" t="str">
        <f>VLOOKUP(J100,'List Data'!A$2:B$94,2,0)</f>
        <v>--------</v>
      </c>
      <c r="Q100" s="26">
        <f t="shared" si="6"/>
        <v>0</v>
      </c>
      <c r="R100" s="26">
        <f t="shared" si="7"/>
        <v>0</v>
      </c>
      <c r="S100" s="26">
        <f t="shared" si="8"/>
        <v>0</v>
      </c>
      <c r="T100" s="26">
        <f>(IF(AND((O100="OP"),(I100="Child (0-7 years)")),VLOOKUP(K100,'OP Values'!$A$1:$Q$35,7),))*H100</f>
        <v>0</v>
      </c>
      <c r="U100" s="26">
        <f>(IF(O100="OP",VLOOKUP($Q100,'OP Values'!$A$1:$Q$35,17),))*H100</f>
        <v>0</v>
      </c>
      <c r="V100" s="26">
        <f>(IF(AND((O100="Pb"),(I100="Child (0-7 years)")),(VLOOKUP(Q100,Pb!$A$1:$AV$103,7)),0))*H100</f>
        <v>0</v>
      </c>
      <c r="W100" s="26">
        <f>(IF(AND((O100="Pb"),(I100="Child (0-7 years)")),(VLOOKUP(Q100,Pb!$C$2:$AV$103,20)),0))*H100</f>
        <v>0</v>
      </c>
      <c r="X100" s="26">
        <f>(IF(AND((O100="Pb"),(I100="Adult (&gt; 15 years)")),(VLOOKUP(Q100,Pb!$A$2:$AV$103,46)),0))*H100</f>
        <v>0</v>
      </c>
      <c r="Y100" s="26">
        <f>(IF(AND((O100="Hg"),(I100="Child (0-7 years)")),(VLOOKUP(Q100,'Hg Values'!$A$1:$M$30,3)),0))*H100</f>
        <v>0</v>
      </c>
      <c r="Z100" s="26">
        <f>(IF(AND((O100="Hg"),(I100="Child (0-7 years)")),(VLOOKUP(Q100,'Hg Values'!$A$1:$M$30,13)),0))*H100</f>
        <v>0</v>
      </c>
      <c r="AA100" s="5">
        <f>(((IF(AND((O100="CA"),(I100="Adult (&gt; 15 years)")),((Q100*1)/70)*(VLOOKUP(J100,CA_ingestion!A$1:J$78,4,0)),0))))/11</f>
        <v>0</v>
      </c>
      <c r="AB100" s="5">
        <f t="shared" si="9"/>
        <v>0</v>
      </c>
      <c r="AC100" s="5">
        <f>((IF(AND((O100="CA"),(I100="Adult (&gt; 15 years)")),(AB100*(VLOOKUP(J100,CA_ingestion!A$1:J$78,10,0))),0)))</f>
        <v>0</v>
      </c>
      <c r="AD100" s="5">
        <f t="shared" si="10"/>
        <v>0</v>
      </c>
      <c r="AE100" s="5">
        <f t="shared" si="11"/>
        <v>0</v>
      </c>
    </row>
    <row r="101" spans="1:31" ht="15.5">
      <c r="A101" s="29" t="s">
        <v>283</v>
      </c>
      <c r="B101" s="29">
        <v>0</v>
      </c>
      <c r="C101" s="29"/>
      <c r="D101" s="29"/>
      <c r="E101" s="26" t="str">
        <f>Summary!C$23</f>
        <v>Afghanistan</v>
      </c>
      <c r="F101" s="29"/>
      <c r="G101" s="29" t="s">
        <v>369</v>
      </c>
      <c r="H101" s="33">
        <f>VLOOKUP(G101,'List Data'!$A$100:$B$104,2,0)</f>
        <v>0</v>
      </c>
      <c r="I101" s="29" t="s">
        <v>213</v>
      </c>
      <c r="J101" s="29" t="s">
        <v>213</v>
      </c>
      <c r="K101" s="29">
        <v>0</v>
      </c>
      <c r="L101" s="29"/>
      <c r="M101" s="37">
        <f>R101*Summary!$H$27</f>
        <v>0</v>
      </c>
      <c r="N101" s="37">
        <f>S101*Summary!$H$25</f>
        <v>0</v>
      </c>
      <c r="O101" s="26">
        <f>VLOOKUP(J101,'List Data'!A$2:C$94,3,0)</f>
        <v>0</v>
      </c>
      <c r="P101" s="26" t="str">
        <f>VLOOKUP(J101,'List Data'!A$2:B$94,2,0)</f>
        <v>--------</v>
      </c>
      <c r="Q101" s="26">
        <f t="shared" si="6"/>
        <v>0</v>
      </c>
      <c r="R101" s="26">
        <f t="shared" si="7"/>
        <v>0</v>
      </c>
      <c r="S101" s="26">
        <f t="shared" si="8"/>
        <v>0</v>
      </c>
      <c r="T101" s="26">
        <f>(IF(AND((O101="OP"),(I101="Child (0-7 years)")),VLOOKUP(K101,'OP Values'!$A$1:$Q$35,7),))*H101</f>
        <v>0</v>
      </c>
      <c r="U101" s="26">
        <f>(IF(O101="OP",VLOOKUP($Q101,'OP Values'!$A$1:$Q$35,17),))*H101</f>
        <v>0</v>
      </c>
      <c r="V101" s="26">
        <f>(IF(AND((O101="Pb"),(I101="Child (0-7 years)")),(VLOOKUP(Q101,Pb!$A$1:$AV$103,7)),0))*H101</f>
        <v>0</v>
      </c>
      <c r="W101" s="26">
        <f>(IF(AND((O101="Pb"),(I101="Child (0-7 years)")),(VLOOKUP(Q101,Pb!$C$2:$AV$103,20)),0))*H101</f>
        <v>0</v>
      </c>
      <c r="X101" s="26">
        <f>(IF(AND((O101="Pb"),(I101="Adult (&gt; 15 years)")),(VLOOKUP(Q101,Pb!$A$2:$AV$103,46)),0))*H101</f>
        <v>0</v>
      </c>
      <c r="Y101" s="26">
        <f>(IF(AND((O101="Hg"),(I101="Child (0-7 years)")),(VLOOKUP(Q101,'Hg Values'!$A$1:$M$30,3)),0))*H101</f>
        <v>0</v>
      </c>
      <c r="Z101" s="26">
        <f>(IF(AND((O101="Hg"),(I101="Child (0-7 years)")),(VLOOKUP(Q101,'Hg Values'!$A$1:$M$30,13)),0))*H101</f>
        <v>0</v>
      </c>
      <c r="AA101" s="5">
        <f>(((IF(AND((O101="CA"),(I101="Adult (&gt; 15 years)")),((Q101*1)/70)*(VLOOKUP(J101,CA_ingestion!A$1:J$78,4,0)),0))))/11</f>
        <v>0</v>
      </c>
      <c r="AB101" s="5">
        <f t="shared" si="9"/>
        <v>0</v>
      </c>
      <c r="AC101" s="5">
        <f>((IF(AND((O101="CA"),(I101="Adult (&gt; 15 years)")),(AB101*(VLOOKUP(J101,CA_ingestion!A$1:J$78,10,0))),0)))</f>
        <v>0</v>
      </c>
      <c r="AD101" s="5">
        <f t="shared" si="10"/>
        <v>0</v>
      </c>
      <c r="AE101" s="5">
        <f t="shared" si="11"/>
        <v>0</v>
      </c>
    </row>
    <row r="102" spans="1:31" ht="15.5">
      <c r="A102" s="29" t="s">
        <v>283</v>
      </c>
      <c r="B102" s="29">
        <v>0</v>
      </c>
      <c r="C102" s="29"/>
      <c r="D102" s="29"/>
      <c r="E102" s="26" t="str">
        <f>Summary!C$23</f>
        <v>Afghanistan</v>
      </c>
      <c r="F102" s="29"/>
      <c r="G102" s="29" t="s">
        <v>369</v>
      </c>
      <c r="H102" s="33">
        <f>VLOOKUP(G102,'List Data'!$A$100:$B$104,2,0)</f>
        <v>0</v>
      </c>
      <c r="I102" s="29" t="s">
        <v>213</v>
      </c>
      <c r="J102" s="29" t="s">
        <v>213</v>
      </c>
      <c r="K102" s="29">
        <v>0</v>
      </c>
      <c r="L102" s="29"/>
      <c r="M102" s="37">
        <f>R102*Summary!$H$27</f>
        <v>0</v>
      </c>
      <c r="N102" s="37">
        <f>S102*Summary!$H$25</f>
        <v>0</v>
      </c>
      <c r="O102" s="26">
        <f>VLOOKUP(J102,'List Data'!A$2:C$94,3,0)</f>
        <v>0</v>
      </c>
      <c r="P102" s="26" t="str">
        <f>VLOOKUP(J102,'List Data'!A$2:B$94,2,0)</f>
        <v>--------</v>
      </c>
      <c r="Q102" s="26">
        <f t="shared" si="6"/>
        <v>0</v>
      </c>
      <c r="R102" s="26">
        <f t="shared" si="7"/>
        <v>0</v>
      </c>
      <c r="S102" s="26">
        <f t="shared" si="8"/>
        <v>0</v>
      </c>
      <c r="T102" s="26">
        <f>(IF(AND((O102="OP"),(I102="Child (0-7 years)")),VLOOKUP(K102,'OP Values'!$A$1:$Q$35,7),))*H102</f>
        <v>0</v>
      </c>
      <c r="U102" s="26">
        <f>(IF(O102="OP",VLOOKUP($Q102,'OP Values'!$A$1:$Q$35,17),))*H102</f>
        <v>0</v>
      </c>
      <c r="V102" s="26">
        <f>(IF(AND((O102="Pb"),(I102="Child (0-7 years)")),(VLOOKUP(Q102,Pb!$A$1:$AV$103,7)),0))*H102</f>
        <v>0</v>
      </c>
      <c r="W102" s="26">
        <f>(IF(AND((O102="Pb"),(I102="Child (0-7 years)")),(VLOOKUP(Q102,Pb!$C$2:$AV$103,20)),0))*H102</f>
        <v>0</v>
      </c>
      <c r="X102" s="26">
        <f>(IF(AND((O102="Pb"),(I102="Adult (&gt; 15 years)")),(VLOOKUP(Q102,Pb!$A$2:$AV$103,46)),0))*H102</f>
        <v>0</v>
      </c>
      <c r="Y102" s="26">
        <f>(IF(AND((O102="Hg"),(I102="Child (0-7 years)")),(VLOOKUP(Q102,'Hg Values'!$A$1:$M$30,3)),0))*H102</f>
        <v>0</v>
      </c>
      <c r="Z102" s="26">
        <f>(IF(AND((O102="Hg"),(I102="Child (0-7 years)")),(VLOOKUP(Q102,'Hg Values'!$A$1:$M$30,13)),0))*H102</f>
        <v>0</v>
      </c>
      <c r="AA102" s="5">
        <f>(((IF(AND((O102="CA"),(I102="Adult (&gt; 15 years)")),((Q102*1)/70)*(VLOOKUP(J102,CA_ingestion!A$1:J$78,4,0)),0))))/11</f>
        <v>0</v>
      </c>
      <c r="AB102" s="5">
        <f t="shared" si="9"/>
        <v>0</v>
      </c>
      <c r="AC102" s="5">
        <f>((IF(AND((O102="CA"),(I102="Adult (&gt; 15 years)")),(AB102*(VLOOKUP(J102,CA_ingestion!A$1:J$78,10,0))),0)))</f>
        <v>0</v>
      </c>
      <c r="AD102" s="5">
        <f t="shared" si="10"/>
        <v>0</v>
      </c>
      <c r="AE102" s="5">
        <f t="shared" si="11"/>
        <v>0</v>
      </c>
    </row>
    <row r="103" spans="1:31" ht="15.5">
      <c r="A103" s="29" t="s">
        <v>283</v>
      </c>
      <c r="B103" s="29">
        <v>0</v>
      </c>
      <c r="C103" s="29"/>
      <c r="D103" s="29"/>
      <c r="E103" s="26" t="str">
        <f>Summary!C$23</f>
        <v>Afghanistan</v>
      </c>
      <c r="F103" s="29"/>
      <c r="G103" s="29" t="s">
        <v>369</v>
      </c>
      <c r="H103" s="33">
        <f>VLOOKUP(G103,'List Data'!$A$100:$B$104,2,0)</f>
        <v>0</v>
      </c>
      <c r="I103" s="29" t="s">
        <v>213</v>
      </c>
      <c r="J103" s="29" t="s">
        <v>213</v>
      </c>
      <c r="K103" s="29">
        <v>0</v>
      </c>
      <c r="L103" s="29"/>
      <c r="M103" s="37">
        <f>R103*Summary!$H$27</f>
        <v>0</v>
      </c>
      <c r="N103" s="37">
        <f>S103*Summary!$H$25</f>
        <v>0</v>
      </c>
      <c r="O103" s="26">
        <f>VLOOKUP(J103,'List Data'!A$2:C$94,3,0)</f>
        <v>0</v>
      </c>
      <c r="P103" s="26" t="str">
        <f>VLOOKUP(J103,'List Data'!A$2:B$94,2,0)</f>
        <v>--------</v>
      </c>
      <c r="Q103" s="26">
        <f t="shared" si="6"/>
        <v>0</v>
      </c>
      <c r="R103" s="26">
        <f t="shared" si="7"/>
        <v>0</v>
      </c>
      <c r="S103" s="26">
        <f t="shared" si="8"/>
        <v>0</v>
      </c>
      <c r="T103" s="26">
        <f>(IF(AND((O103="OP"),(I103="Child (0-7 years)")),VLOOKUP(K103,'OP Values'!$A$1:$Q$35,7),))*H103</f>
        <v>0</v>
      </c>
      <c r="U103" s="26">
        <f>(IF(O103="OP",VLOOKUP($Q103,'OP Values'!$A$1:$Q$35,17),))*H103</f>
        <v>0</v>
      </c>
      <c r="V103" s="26">
        <f>(IF(AND((O103="Pb"),(I103="Child (0-7 years)")),(VLOOKUP(Q103,Pb!$A$1:$AV$103,7)),0))*H103</f>
        <v>0</v>
      </c>
      <c r="W103" s="26">
        <f>(IF(AND((O103="Pb"),(I103="Child (0-7 years)")),(VLOOKUP(Q103,Pb!$C$2:$AV$103,20)),0))*H103</f>
        <v>0</v>
      </c>
      <c r="X103" s="26">
        <f>(IF(AND((O103="Pb"),(I103="Adult (&gt; 15 years)")),(VLOOKUP(Q103,Pb!$A$2:$AV$103,46)),0))*H103</f>
        <v>0</v>
      </c>
      <c r="Y103" s="26">
        <f>(IF(AND((O103="Hg"),(I103="Child (0-7 years)")),(VLOOKUP(Q103,'Hg Values'!$A$1:$M$30,3)),0))*H103</f>
        <v>0</v>
      </c>
      <c r="Z103" s="26">
        <f>(IF(AND((O103="Hg"),(I103="Child (0-7 years)")),(VLOOKUP(Q103,'Hg Values'!$A$1:$M$30,13)),0))*H103</f>
        <v>0</v>
      </c>
      <c r="AA103" s="5">
        <f>(((IF(AND((O103="CA"),(I103="Adult (&gt; 15 years)")),((Q103*1)/70)*(VLOOKUP(J103,CA_ingestion!A$1:J$78,4,0)),0))))/11</f>
        <v>0</v>
      </c>
      <c r="AB103" s="5">
        <f t="shared" si="9"/>
        <v>0</v>
      </c>
      <c r="AC103" s="5">
        <f>((IF(AND((O103="CA"),(I103="Adult (&gt; 15 years)")),(AB103*(VLOOKUP(J103,CA_ingestion!A$1:J$78,10,0))),0)))</f>
        <v>0</v>
      </c>
      <c r="AD103" s="5">
        <f t="shared" si="10"/>
        <v>0</v>
      </c>
      <c r="AE103" s="5">
        <f t="shared" si="11"/>
        <v>0</v>
      </c>
    </row>
    <row r="104" spans="1:31" ht="15.5">
      <c r="A104" s="29" t="s">
        <v>283</v>
      </c>
      <c r="B104" s="29">
        <v>0</v>
      </c>
      <c r="C104" s="29"/>
      <c r="D104" s="29"/>
      <c r="E104" s="26" t="str">
        <f>Summary!C$23</f>
        <v>Afghanistan</v>
      </c>
      <c r="F104" s="29"/>
      <c r="G104" s="29" t="s">
        <v>369</v>
      </c>
      <c r="H104" s="33">
        <f>VLOOKUP(G104,'List Data'!$A$100:$B$104,2,0)</f>
        <v>0</v>
      </c>
      <c r="I104" s="29" t="s">
        <v>213</v>
      </c>
      <c r="J104" s="29" t="s">
        <v>213</v>
      </c>
      <c r="K104" s="29">
        <v>0</v>
      </c>
      <c r="L104" s="29"/>
      <c r="M104" s="37">
        <f>R104*Summary!$H$27</f>
        <v>0</v>
      </c>
      <c r="N104" s="37">
        <f>S104*Summary!$H$25</f>
        <v>0</v>
      </c>
      <c r="O104" s="26">
        <f>VLOOKUP(J104,'List Data'!A$2:C$94,3,0)</f>
        <v>0</v>
      </c>
      <c r="P104" s="26" t="str">
        <f>VLOOKUP(J104,'List Data'!A$2:B$94,2,0)</f>
        <v>--------</v>
      </c>
      <c r="Q104" s="26">
        <f t="shared" si="6"/>
        <v>0</v>
      </c>
      <c r="R104" s="26">
        <f t="shared" si="7"/>
        <v>0</v>
      </c>
      <c r="S104" s="26">
        <f t="shared" si="8"/>
        <v>0</v>
      </c>
      <c r="T104" s="26">
        <f>(IF(AND((O104="OP"),(I104="Child (0-7 years)")),VLOOKUP(K104,'OP Values'!$A$1:$Q$35,7),))*H104</f>
        <v>0</v>
      </c>
      <c r="U104" s="26">
        <f>(IF(O104="OP",VLOOKUP($Q104,'OP Values'!$A$1:$Q$35,17),))*H104</f>
        <v>0</v>
      </c>
      <c r="V104" s="26">
        <f>(IF(AND((O104="Pb"),(I104="Child (0-7 years)")),(VLOOKUP(Q104,Pb!$A$1:$AV$103,7)),0))*H104</f>
        <v>0</v>
      </c>
      <c r="W104" s="26">
        <f>(IF(AND((O104="Pb"),(I104="Child (0-7 years)")),(VLOOKUP(Q104,Pb!$C$2:$AV$103,20)),0))*H104</f>
        <v>0</v>
      </c>
      <c r="X104" s="26">
        <f>(IF(AND((O104="Pb"),(I104="Adult (&gt; 15 years)")),(VLOOKUP(Q104,Pb!$A$2:$AV$103,46)),0))*H104</f>
        <v>0</v>
      </c>
      <c r="Y104" s="26">
        <f>(IF(AND((O104="Hg"),(I104="Child (0-7 years)")),(VLOOKUP(Q104,'Hg Values'!$A$1:$M$30,3)),0))*H104</f>
        <v>0</v>
      </c>
      <c r="Z104" s="26">
        <f>(IF(AND((O104="Hg"),(I104="Child (0-7 years)")),(VLOOKUP(Q104,'Hg Values'!$A$1:$M$30,13)),0))*H104</f>
        <v>0</v>
      </c>
      <c r="AA104" s="5">
        <f>(((IF(AND((O104="CA"),(I104="Adult (&gt; 15 years)")),((Q104*1)/70)*(VLOOKUP(J104,CA_ingestion!A$1:J$78,4,0)),0))))/11</f>
        <v>0</v>
      </c>
      <c r="AB104" s="5">
        <f t="shared" si="9"/>
        <v>0</v>
      </c>
      <c r="AC104" s="5">
        <f>((IF(AND((O104="CA"),(I104="Adult (&gt; 15 years)")),(AB104*(VLOOKUP(J104,CA_ingestion!A$1:J$78,10,0))),0)))</f>
        <v>0</v>
      </c>
      <c r="AD104" s="5">
        <f t="shared" si="10"/>
        <v>0</v>
      </c>
      <c r="AE104" s="5">
        <f t="shared" si="11"/>
        <v>0</v>
      </c>
    </row>
  </sheetData>
  <sheetProtection sheet="1" objects="1" scenarios="1"/>
  <dataValidations count="2">
    <dataValidation type="decimal" allowBlank="1" showInputMessage="1" showErrorMessage="1" sqref="B5:B104" xr:uid="{9AADCABA-A9EE-4466-9C17-311F7365B329}">
      <formula1>0</formula1>
      <formula2>10</formula2>
    </dataValidation>
    <dataValidation type="decimal" allowBlank="1" showInputMessage="1" showErrorMessage="1" sqref="K5:K104" xr:uid="{CB8A40CC-17CA-4BAB-9F9F-7264FD59DC89}">
      <formula1>0</formula1>
      <formula2>10000</formula2>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1000000}">
          <x14:formula1>
            <xm:f>'List Data'!$A$96:$A$98</xm:f>
          </x14:formula1>
          <xm:sqref>I5:I104</xm:sqref>
        </x14:dataValidation>
        <x14:dataValidation type="list" allowBlank="1" showInputMessage="1" showErrorMessage="1" xr:uid="{00000000-0002-0000-0200-000000000000}">
          <x14:formula1>
            <xm:f>'List Data'!$A$2:$A$94</xm:f>
          </x14:formula1>
          <xm:sqref>J5:J104</xm:sqref>
        </x14:dataValidation>
        <x14:dataValidation type="list" allowBlank="1" showInputMessage="1" showErrorMessage="1" xr:uid="{C88F6B61-3673-4CCC-A0E9-F82BA34F19BF}">
          <x14:formula1>
            <xm:f>'List Data'!$A$100:$A$104</xm:f>
          </x14:formula1>
          <xm:sqref>G5:G104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106"/>
  <sheetViews>
    <sheetView zoomScale="85" zoomScaleNormal="85" zoomScalePageLayoutView="125" workbookViewId="0">
      <selection activeCell="C19" sqref="C19"/>
    </sheetView>
  </sheetViews>
  <sheetFormatPr defaultColWidth="10.81640625" defaultRowHeight="15.5"/>
  <cols>
    <col min="1" max="1" width="24.36328125" style="4" bestFit="1" customWidth="1"/>
    <col min="2" max="2" width="9.6328125" style="4" bestFit="1" customWidth="1"/>
    <col min="3" max="3" width="12.453125" style="4" bestFit="1" customWidth="1"/>
    <col min="4" max="4" width="12.36328125" style="4" customWidth="1"/>
    <col min="5" max="5" width="18" style="4" customWidth="1"/>
    <col min="6" max="6" width="24.26953125" style="4" bestFit="1" customWidth="1"/>
    <col min="7" max="7" width="12.1796875" style="4" customWidth="1"/>
    <col min="8" max="8" width="9.81640625" style="4" customWidth="1"/>
    <col min="9" max="9" width="9.7265625" style="4" bestFit="1" customWidth="1"/>
    <col min="10" max="10" width="11.36328125" style="4" bestFit="1" customWidth="1"/>
    <col min="11" max="12" width="21" style="4" bestFit="1" customWidth="1"/>
    <col min="13" max="14" width="21" style="4" customWidth="1"/>
    <col min="15" max="15" width="10.36328125" style="4" customWidth="1"/>
    <col min="16" max="16" width="9.36328125" style="4" bestFit="1" customWidth="1"/>
    <col min="17" max="17" width="19.36328125" style="4" bestFit="1" customWidth="1"/>
    <col min="18" max="18" width="12.1796875" style="4" customWidth="1"/>
    <col min="19" max="20" width="22.81640625" style="4" bestFit="1" customWidth="1"/>
    <col min="21" max="22" width="22.81640625" style="4" customWidth="1"/>
    <col min="23" max="24" width="21.1796875" style="4" bestFit="1" customWidth="1"/>
    <col min="25" max="25" width="18.7265625" style="4" bestFit="1" customWidth="1"/>
    <col min="26" max="26" width="22.7265625" style="4" bestFit="1" customWidth="1"/>
    <col min="27" max="27" width="22.7265625" style="4" customWidth="1"/>
    <col min="28" max="28" width="20.81640625" style="4" bestFit="1" customWidth="1"/>
    <col min="29" max="29" width="22.7265625" style="4" bestFit="1" customWidth="1"/>
    <col min="30" max="30" width="22.7265625" style="4" customWidth="1"/>
    <col min="31" max="31" width="19.1796875" style="4" bestFit="1" customWidth="1"/>
    <col min="32" max="32" width="19.1796875" style="4" customWidth="1"/>
    <col min="33" max="33" width="14.81640625" style="4" customWidth="1"/>
    <col min="34" max="16384" width="10.81640625" style="4"/>
  </cols>
  <sheetData>
    <row r="1" spans="1:33" ht="25">
      <c r="A1" s="2" t="s">
        <v>345</v>
      </c>
    </row>
    <row r="2" spans="1:33">
      <c r="A2" s="4" t="s">
        <v>347</v>
      </c>
      <c r="B2" s="28">
        <f>SUM(T:T)</f>
        <v>4457.3505790000072</v>
      </c>
      <c r="C2" s="4" t="s">
        <v>348</v>
      </c>
      <c r="E2" s="28">
        <f>SUM(U:U)</f>
        <v>9.5191228122667546</v>
      </c>
    </row>
    <row r="3" spans="1:33">
      <c r="F3" s="28"/>
      <c r="H3" s="28"/>
    </row>
    <row r="4" spans="1:33">
      <c r="A4" s="24" t="s">
        <v>349</v>
      </c>
      <c r="B4" s="24" t="s">
        <v>350</v>
      </c>
      <c r="C4" s="24" t="s">
        <v>351</v>
      </c>
      <c r="D4" s="3" t="s">
        <v>217</v>
      </c>
      <c r="E4" s="24" t="s">
        <v>370</v>
      </c>
      <c r="F4" s="24" t="s">
        <v>215</v>
      </c>
      <c r="G4" s="3" t="s">
        <v>332</v>
      </c>
      <c r="H4" s="3" t="s">
        <v>333</v>
      </c>
      <c r="I4" s="3" t="s">
        <v>334</v>
      </c>
      <c r="J4" s="3" t="s">
        <v>335</v>
      </c>
      <c r="K4" s="24" t="s">
        <v>218</v>
      </c>
      <c r="L4" s="24" t="s">
        <v>204</v>
      </c>
      <c r="M4" s="3" t="s">
        <v>391</v>
      </c>
      <c r="N4" s="3" t="s">
        <v>392</v>
      </c>
      <c r="O4" s="24" t="s">
        <v>234</v>
      </c>
      <c r="P4" s="24" t="s">
        <v>212</v>
      </c>
      <c r="Q4" s="24" t="s">
        <v>230</v>
      </c>
      <c r="R4" s="24" t="s">
        <v>228</v>
      </c>
      <c r="S4" s="24" t="s">
        <v>229</v>
      </c>
      <c r="T4" s="24" t="s">
        <v>278</v>
      </c>
      <c r="U4" s="24" t="s">
        <v>279</v>
      </c>
      <c r="V4" s="24" t="s">
        <v>273</v>
      </c>
      <c r="W4" s="24" t="s">
        <v>271</v>
      </c>
      <c r="X4" s="24" t="s">
        <v>274</v>
      </c>
      <c r="Y4" s="24" t="s">
        <v>276</v>
      </c>
      <c r="Z4" s="24" t="s">
        <v>277</v>
      </c>
      <c r="AA4" s="24" t="s">
        <v>275</v>
      </c>
      <c r="AB4" s="24" t="s">
        <v>272</v>
      </c>
      <c r="AC4" s="24" t="s">
        <v>327</v>
      </c>
      <c r="AD4" s="24" t="s">
        <v>326</v>
      </c>
      <c r="AE4" s="24" t="s">
        <v>293</v>
      </c>
      <c r="AF4" s="24" t="s">
        <v>296</v>
      </c>
      <c r="AG4" s="24" t="s">
        <v>295</v>
      </c>
    </row>
    <row r="5" spans="1:33">
      <c r="A5" s="30" t="s">
        <v>589</v>
      </c>
      <c r="B5" s="30"/>
      <c r="C5" s="30"/>
      <c r="D5" s="29" t="s">
        <v>367</v>
      </c>
      <c r="E5" s="35">
        <f>VLOOKUP(D5,'List Data'!$A$100:$B$104,2,0)</f>
        <v>1000</v>
      </c>
      <c r="F5" s="30">
        <v>1000</v>
      </c>
      <c r="G5" s="30"/>
      <c r="H5" s="30"/>
      <c r="I5" s="26" t="str">
        <f>Summary!C$23</f>
        <v>Afghanistan</v>
      </c>
      <c r="J5" s="30"/>
      <c r="K5" s="30" t="s">
        <v>224</v>
      </c>
      <c r="L5" s="30" t="s">
        <v>220</v>
      </c>
      <c r="M5" s="37">
        <f>T5*Summary!$H$27</f>
        <v>923594.66715794289</v>
      </c>
      <c r="N5" s="37">
        <f>U5*Summary!$H$25</f>
        <v>6807.5035135616927</v>
      </c>
      <c r="O5" s="5" t="str">
        <f>VLOOKUP(L5,'List Data'!A$2:C$94,3,0)</f>
        <v>Pb</v>
      </c>
      <c r="P5" s="5" t="str">
        <f>VLOOKUP(L5,'List Data'!A$2:B$94,2,0)</f>
        <v>7439-92-1</v>
      </c>
      <c r="Q5" s="5">
        <f t="shared" ref="Q5" si="0">F5*0.7+(10.7)</f>
        <v>710.7</v>
      </c>
      <c r="R5" s="5">
        <f>IF(K5="Child (0-7 years)",135,50)</f>
        <v>135</v>
      </c>
      <c r="S5" s="5">
        <f>(F5/1000000)*R5</f>
        <v>0.13500000000000001</v>
      </c>
      <c r="T5" s="5">
        <f t="shared" ref="T5" si="1">V5+X5+AA5</f>
        <v>4457.3505790000072</v>
      </c>
      <c r="U5" s="5">
        <f t="shared" ref="U5" si="2">W5+Y5+Z5+AB5+AG5</f>
        <v>9.5191228122667546</v>
      </c>
      <c r="V5" s="5">
        <f>(IF(AND((O5="OP"),(K5="Child (0-7 years)")),VLOOKUP(($R5*(F5/1000000)),'OP Values'!$A$1:$Q$35,7),))*E5</f>
        <v>0</v>
      </c>
      <c r="W5" s="5">
        <f>(IF(O5="OP",VLOOKUP(($R5*(F5/1000000)),'OP Values'!$A$1:$Q$35,17),))*E5</f>
        <v>0</v>
      </c>
      <c r="X5" s="5">
        <f>(IF(AND((O5="Pb"),(K5="Child (0-7 years)")),(VLOOKUP(F5,Pb!$A$1:$AV$103,13)),0))*E5</f>
        <v>4457.3505790000072</v>
      </c>
      <c r="Y5" s="5">
        <f>(IF(AND((O5="Pb"),(K5="Child (0-7 years)")),(VLOOKUP(F5,Pb!$A$2:$AV$103,22)),0))*E5</f>
        <v>9.5191228122667546</v>
      </c>
      <c r="Z5" s="5">
        <f>(IF(AND((O5="Pb"),(K5="Adult (&gt; 15 years)")),(VLOOKUP(F5,Pb!$A$2:$AV$103,48)),0))*E5</f>
        <v>0</v>
      </c>
      <c r="AA5" s="5">
        <f>(IF(AND((O5="Hg"),(K5="Child (0-7 years)")),(VLOOKUP(S5,'Hg Values'!$A$1:$M$30,3)),0))*E5</f>
        <v>0</v>
      </c>
      <c r="AB5" s="5">
        <f>(IF(AND((O5="Hg"),(K5="Child (0-7 years)")),(VLOOKUP(S5,'Hg Values'!$A$1:$M$30,13)),0))*E5</f>
        <v>0</v>
      </c>
      <c r="AC5" s="5">
        <f>((IF(AND((O5="CA"),(K5="Adult (&gt; 15 years)")),(VLOOKUP(L5,CA_ingestion!A$1:J$78,7,0)),0))*((F5/1000000)*R5*70))/14</f>
        <v>0</v>
      </c>
      <c r="AD5" s="5">
        <f t="shared" ref="AD5" si="3">(IF(AC5&gt;1,1,AC5))*E5</f>
        <v>0</v>
      </c>
      <c r="AE5" s="5">
        <f>((IF(AND((O5="CA"),(K5="Adult (&gt; 15 years)")),(AD5*(VLOOKUP(L5,CA_ingestion!A$1:J$78,10,0))),0)))</f>
        <v>0</v>
      </c>
      <c r="AF5" s="5">
        <f t="shared" ref="AF5" si="4">AD5/2</f>
        <v>0</v>
      </c>
      <c r="AG5" s="5">
        <f t="shared" ref="AG5" si="5">AE5+AF5</f>
        <v>0</v>
      </c>
    </row>
    <row r="6" spans="1:33">
      <c r="A6" s="30"/>
      <c r="B6" s="30"/>
      <c r="C6" s="30"/>
      <c r="D6" s="29" t="s">
        <v>369</v>
      </c>
      <c r="E6" s="35">
        <f>VLOOKUP(D6,'List Data'!$A$100:$B$104,2,0)</f>
        <v>0</v>
      </c>
      <c r="F6" s="30"/>
      <c r="G6" s="30"/>
      <c r="H6" s="30"/>
      <c r="I6" s="26" t="str">
        <f>Summary!C$23</f>
        <v>Afghanistan</v>
      </c>
      <c r="J6" s="30"/>
      <c r="K6" s="30" t="s">
        <v>213</v>
      </c>
      <c r="L6" s="30" t="s">
        <v>213</v>
      </c>
      <c r="M6" s="37">
        <f>T6*Summary!$H$27</f>
        <v>0</v>
      </c>
      <c r="N6" s="37">
        <f>U6*Summary!$H$25</f>
        <v>0</v>
      </c>
      <c r="O6" s="5">
        <f>VLOOKUP(L6,'List Data'!A$2:C$94,3,0)</f>
        <v>0</v>
      </c>
      <c r="P6" s="5" t="str">
        <f>VLOOKUP(L6,'List Data'!A$2:B$94,2,0)</f>
        <v>--------</v>
      </c>
      <c r="Q6" s="5">
        <f t="shared" ref="Q6:Q69" si="6">F6*0.7+(10.7)</f>
        <v>10.7</v>
      </c>
      <c r="R6" s="5">
        <f t="shared" ref="R6:R69" si="7">IF(K6="Child (0-7 years)",135,50)</f>
        <v>50</v>
      </c>
      <c r="S6" s="5">
        <f t="shared" ref="S6:S69" si="8">(F6/1000000)*R6</f>
        <v>0</v>
      </c>
      <c r="T6" s="5">
        <f t="shared" ref="T6:T69" si="9">V6+X6+AA6</f>
        <v>0</v>
      </c>
      <c r="U6" s="5">
        <f t="shared" ref="U6:U69" si="10">W6+Y6+Z6+AB6+AG6</f>
        <v>0</v>
      </c>
      <c r="V6" s="5">
        <f>(IF(AND((O6="OP"),(K6="Child (0-7 years)")),VLOOKUP(($R6*(F6/1000000)),'OP Values'!$A$1:$Q$35,7),))*E6</f>
        <v>0</v>
      </c>
      <c r="W6" s="5">
        <f>(IF(O6="OP",VLOOKUP(($R6*(F6/1000000)),'OP Values'!$A$1:$Q$35,17),))*E6</f>
        <v>0</v>
      </c>
      <c r="X6" s="5">
        <f>(IF(AND((O6="Pb"),(K6="Child (0-7 years)")),(VLOOKUP(F6,Pb!$A$1:$AV$103,13)),0))*E6</f>
        <v>0</v>
      </c>
      <c r="Y6" s="5">
        <f>(IF(AND((O6="Pb"),(K6="Child (0-7 years)")),(VLOOKUP(F6,Pb!$A$2:$AV$103,22)),0))*E6</f>
        <v>0</v>
      </c>
      <c r="Z6" s="5">
        <f>(IF(AND((O6="Pb"),(K6="Adult (&gt; 15 years)")),(VLOOKUP(F6,Pb!$A$2:$AV$103,48)),0))*E6</f>
        <v>0</v>
      </c>
      <c r="AA6" s="5">
        <f>(IF(AND((O6="Hg"),(K6="Child (0-7 years)")),(VLOOKUP(S6,'Hg Values'!$A$1:$M$30,3)),0))*E6</f>
        <v>0</v>
      </c>
      <c r="AB6" s="5">
        <f>(IF(AND((O6="Hg"),(K6="Child (0-7 years)")),(VLOOKUP(S6,'Hg Values'!$A$1:$M$30,13)),0))*E6</f>
        <v>0</v>
      </c>
      <c r="AC6" s="5">
        <f>((IF(AND((O6="CA"),(K6="Adult (&gt; 15 years)")),(VLOOKUP(L6,CA_ingestion!A$1:J$78,7,0)),0))*((F6/1000000)*R6*70))/14</f>
        <v>0</v>
      </c>
      <c r="AD6" s="5">
        <f t="shared" ref="AD6:AD69" si="11">(IF(AC6&gt;1,1,AC6))*E6</f>
        <v>0</v>
      </c>
      <c r="AE6" s="5">
        <f>((IF(AND((O6="CA"),(K6="Adult (&gt; 15 years)")),(AD6*(VLOOKUP(L6,CA_ingestion!A$1:J$78,10,0))),0)))</f>
        <v>0</v>
      </c>
      <c r="AF6" s="5">
        <f t="shared" ref="AF6:AF69" si="12">AD6/2</f>
        <v>0</v>
      </c>
      <c r="AG6" s="5">
        <f t="shared" ref="AG6:AG69" si="13">AE6+AF6</f>
        <v>0</v>
      </c>
    </row>
    <row r="7" spans="1:33">
      <c r="A7" s="30"/>
      <c r="B7" s="30"/>
      <c r="C7" s="30"/>
      <c r="D7" s="29" t="s">
        <v>369</v>
      </c>
      <c r="E7" s="35">
        <f>VLOOKUP(D7,'List Data'!$A$100:$B$104,2,0)</f>
        <v>0</v>
      </c>
      <c r="F7" s="30"/>
      <c r="G7" s="30"/>
      <c r="H7" s="30"/>
      <c r="I7" s="26" t="str">
        <f>Summary!C$23</f>
        <v>Afghanistan</v>
      </c>
      <c r="J7" s="30"/>
      <c r="K7" s="30" t="s">
        <v>213</v>
      </c>
      <c r="L7" s="30" t="s">
        <v>213</v>
      </c>
      <c r="M7" s="37">
        <f>T7*Summary!$H$27</f>
        <v>0</v>
      </c>
      <c r="N7" s="37">
        <f>U7*Summary!$H$25</f>
        <v>0</v>
      </c>
      <c r="O7" s="5">
        <f>VLOOKUP(L7,'List Data'!A$2:C$94,3,0)</f>
        <v>0</v>
      </c>
      <c r="P7" s="5" t="str">
        <f>VLOOKUP(L7,'List Data'!A$2:B$94,2,0)</f>
        <v>--------</v>
      </c>
      <c r="Q7" s="5">
        <f t="shared" si="6"/>
        <v>10.7</v>
      </c>
      <c r="R7" s="5">
        <f t="shared" si="7"/>
        <v>50</v>
      </c>
      <c r="S7" s="5">
        <f t="shared" si="8"/>
        <v>0</v>
      </c>
      <c r="T7" s="5">
        <f t="shared" si="9"/>
        <v>0</v>
      </c>
      <c r="U7" s="5">
        <f t="shared" si="10"/>
        <v>0</v>
      </c>
      <c r="V7" s="5">
        <f>(IF(AND((O7="OP"),(K7="Child (0-7 years)")),VLOOKUP(($R7*(F7/1000000)),'OP Values'!$A$1:$Q$35,7),))*E7</f>
        <v>0</v>
      </c>
      <c r="W7" s="5">
        <f>(IF(O7="OP",VLOOKUP(($R7*(F7/1000000)),'OP Values'!$A$1:$Q$35,17),))*E7</f>
        <v>0</v>
      </c>
      <c r="X7" s="5">
        <f>(IF(AND((O7="Pb"),(K7="Child (0-7 years)")),(VLOOKUP(F7,Pb!$A$1:$AV$103,13)),0))*E7</f>
        <v>0</v>
      </c>
      <c r="Y7" s="5">
        <f>(IF(AND((O7="Pb"),(K7="Child (0-7 years)")),(VLOOKUP(F7,Pb!$A$2:$AV$103,22)),0))*E7</f>
        <v>0</v>
      </c>
      <c r="Z7" s="5">
        <f>(IF(AND((O7="Pb"),(K7="Adult (&gt; 15 years)")),(VLOOKUP(F7,Pb!$A$2:$AV$103,48)),0))*E7</f>
        <v>0</v>
      </c>
      <c r="AA7" s="5">
        <f>(IF(AND((O7="Hg"),(K7="Child (0-7 years)")),(VLOOKUP(S7,'Hg Values'!$A$1:$M$30,3)),0))*E7</f>
        <v>0</v>
      </c>
      <c r="AB7" s="5">
        <f>(IF(AND((O7="Hg"),(K7="Child (0-7 years)")),(VLOOKUP(S7,'Hg Values'!$A$1:$M$30,13)),0))*E7</f>
        <v>0</v>
      </c>
      <c r="AC7" s="5">
        <f>((IF(AND((O7="CA"),(K7="Adult (&gt; 15 years)")),(VLOOKUP(L7,CA_ingestion!A$1:J$78,7,0)),0))*((F7/1000000)*R7*70))/14</f>
        <v>0</v>
      </c>
      <c r="AD7" s="5">
        <f t="shared" si="11"/>
        <v>0</v>
      </c>
      <c r="AE7" s="5">
        <f>((IF(AND((O7="CA"),(K7="Adult (&gt; 15 years)")),(AD7*(VLOOKUP(L7,CA_ingestion!A$1:J$78,10,0))),0)))</f>
        <v>0</v>
      </c>
      <c r="AF7" s="5">
        <f t="shared" si="12"/>
        <v>0</v>
      </c>
      <c r="AG7" s="5">
        <f t="shared" si="13"/>
        <v>0</v>
      </c>
    </row>
    <row r="8" spans="1:33">
      <c r="A8" s="30"/>
      <c r="B8" s="30"/>
      <c r="C8" s="30"/>
      <c r="D8" s="29" t="s">
        <v>369</v>
      </c>
      <c r="E8" s="35">
        <f>VLOOKUP(D8,'List Data'!$A$100:$B$104,2,0)</f>
        <v>0</v>
      </c>
      <c r="F8" s="30"/>
      <c r="G8" s="30"/>
      <c r="H8" s="30"/>
      <c r="I8" s="26" t="str">
        <f>Summary!C$23</f>
        <v>Afghanistan</v>
      </c>
      <c r="J8" s="30"/>
      <c r="K8" s="30" t="s">
        <v>213</v>
      </c>
      <c r="L8" s="30" t="s">
        <v>213</v>
      </c>
      <c r="M8" s="37">
        <f>T8*Summary!$H$27</f>
        <v>0</v>
      </c>
      <c r="N8" s="37">
        <f>U8*Summary!$H$25</f>
        <v>0</v>
      </c>
      <c r="O8" s="5">
        <f>VLOOKUP(L8,'List Data'!A$2:C$94,3,0)</f>
        <v>0</v>
      </c>
      <c r="P8" s="5" t="str">
        <f>VLOOKUP(L8,'List Data'!A$2:B$94,2,0)</f>
        <v>--------</v>
      </c>
      <c r="Q8" s="5">
        <f t="shared" si="6"/>
        <v>10.7</v>
      </c>
      <c r="R8" s="5">
        <f t="shared" si="7"/>
        <v>50</v>
      </c>
      <c r="S8" s="5">
        <f t="shared" si="8"/>
        <v>0</v>
      </c>
      <c r="T8" s="5">
        <f t="shared" si="9"/>
        <v>0</v>
      </c>
      <c r="U8" s="5">
        <f t="shared" si="10"/>
        <v>0</v>
      </c>
      <c r="V8" s="5">
        <f>(IF(AND((O8="OP"),(K8="Child (0-7 years)")),VLOOKUP(($R8*(F8/1000000)),'OP Values'!$A$1:$Q$35,7),))*E8</f>
        <v>0</v>
      </c>
      <c r="W8" s="5">
        <f>(IF(O8="OP",VLOOKUP(($R8*(F8/1000000)),'OP Values'!$A$1:$Q$35,17),))*E8</f>
        <v>0</v>
      </c>
      <c r="X8" s="5">
        <f>(IF(AND((O8="Pb"),(K8="Child (0-7 years)")),(VLOOKUP(F8,Pb!$A$1:$AV$103,13)),0))*E8</f>
        <v>0</v>
      </c>
      <c r="Y8" s="5">
        <f>(IF(AND((O8="Pb"),(K8="Child (0-7 years)")),(VLOOKUP(F8,Pb!$A$2:$AV$103,22)),0))*E8</f>
        <v>0</v>
      </c>
      <c r="Z8" s="5">
        <f>(IF(AND((O8="Pb"),(K8="Adult (&gt; 15 years)")),(VLOOKUP(F8,Pb!$A$2:$AV$103,48)),0))*E8</f>
        <v>0</v>
      </c>
      <c r="AA8" s="5">
        <f>(IF(AND((O8="Hg"),(K8="Child (0-7 years)")),(VLOOKUP(S8,'Hg Values'!$A$1:$M$30,3)),0))*E8</f>
        <v>0</v>
      </c>
      <c r="AB8" s="5">
        <f>(IF(AND((O8="Hg"),(K8="Child (0-7 years)")),(VLOOKUP(S8,'Hg Values'!$A$1:$M$30,13)),0))*E8</f>
        <v>0</v>
      </c>
      <c r="AC8" s="5">
        <f>((IF(AND((O8="CA"),(K8="Adult (&gt; 15 years)")),(VLOOKUP(L8,CA_ingestion!A$1:J$78,7,0)),0))*((F8/1000000)*R8*70))/14</f>
        <v>0</v>
      </c>
      <c r="AD8" s="5">
        <f t="shared" si="11"/>
        <v>0</v>
      </c>
      <c r="AE8" s="5">
        <f>((IF(AND((O8="CA"),(K8="Adult (&gt; 15 years)")),(AD8*(VLOOKUP(L8,CA_ingestion!A$1:J$78,10,0))),0)))</f>
        <v>0</v>
      </c>
      <c r="AF8" s="5">
        <f t="shared" si="12"/>
        <v>0</v>
      </c>
      <c r="AG8" s="5">
        <f t="shared" si="13"/>
        <v>0</v>
      </c>
    </row>
    <row r="9" spans="1:33">
      <c r="A9" s="30"/>
      <c r="B9" s="30"/>
      <c r="C9" s="30"/>
      <c r="D9" s="29" t="s">
        <v>369</v>
      </c>
      <c r="E9" s="35">
        <f>VLOOKUP(D9,'List Data'!$A$100:$B$104,2,0)</f>
        <v>0</v>
      </c>
      <c r="F9" s="30"/>
      <c r="G9" s="30"/>
      <c r="H9" s="30"/>
      <c r="I9" s="26" t="str">
        <f>Summary!C$23</f>
        <v>Afghanistan</v>
      </c>
      <c r="J9" s="30"/>
      <c r="K9" s="30" t="s">
        <v>213</v>
      </c>
      <c r="L9" s="30" t="s">
        <v>213</v>
      </c>
      <c r="M9" s="37">
        <f>T9*Summary!$H$27</f>
        <v>0</v>
      </c>
      <c r="N9" s="37">
        <f>U9*Summary!$H$25</f>
        <v>0</v>
      </c>
      <c r="O9" s="5">
        <f>VLOOKUP(L9,'List Data'!A$2:C$94,3,0)</f>
        <v>0</v>
      </c>
      <c r="P9" s="5" t="str">
        <f>VLOOKUP(L9,'List Data'!A$2:B$94,2,0)</f>
        <v>--------</v>
      </c>
      <c r="Q9" s="5">
        <f t="shared" si="6"/>
        <v>10.7</v>
      </c>
      <c r="R9" s="5">
        <f t="shared" si="7"/>
        <v>50</v>
      </c>
      <c r="S9" s="5">
        <f t="shared" si="8"/>
        <v>0</v>
      </c>
      <c r="T9" s="5">
        <f t="shared" si="9"/>
        <v>0</v>
      </c>
      <c r="U9" s="5">
        <f t="shared" si="10"/>
        <v>0</v>
      </c>
      <c r="V9" s="5">
        <f>(IF(AND((O9="OP"),(K9="Child (0-7 years)")),VLOOKUP(($R9*(F9/1000000)),'OP Values'!$A$1:$Q$35,7),))*E9</f>
        <v>0</v>
      </c>
      <c r="W9" s="5">
        <f>(IF(O9="OP",VLOOKUP(($R9*(F9/1000000)),'OP Values'!$A$1:$Q$35,17),))*E9</f>
        <v>0</v>
      </c>
      <c r="X9" s="5">
        <f>(IF(AND((O9="Pb"),(K9="Child (0-7 years)")),(VLOOKUP(F9,Pb!$A$1:$AV$103,13)),0))*E9</f>
        <v>0</v>
      </c>
      <c r="Y9" s="5">
        <f>(IF(AND((O9="Pb"),(K9="Child (0-7 years)")),(VLOOKUP(F9,Pb!$A$2:$AV$103,22)),0))*E9</f>
        <v>0</v>
      </c>
      <c r="Z9" s="5">
        <f>(IF(AND((O9="Pb"),(K9="Adult (&gt; 15 years)")),(VLOOKUP(F9,Pb!$A$2:$AV$103,48)),0))*E9</f>
        <v>0</v>
      </c>
      <c r="AA9" s="5">
        <f>(IF(AND((O9="Hg"),(K9="Child (0-7 years)")),(VLOOKUP(S9,'Hg Values'!$A$1:$M$30,3)),0))*E9</f>
        <v>0</v>
      </c>
      <c r="AB9" s="5">
        <f>(IF(AND((O9="Hg"),(K9="Child (0-7 years)")),(VLOOKUP(S9,'Hg Values'!$A$1:$M$30,13)),0))*E9</f>
        <v>0</v>
      </c>
      <c r="AC9" s="5">
        <f>((IF(AND((O9="CA"),(K9="Adult (&gt; 15 years)")),(VLOOKUP(L9,CA_ingestion!A$1:J$78,7,0)),0))*((F9/1000000)*R9*70))/14</f>
        <v>0</v>
      </c>
      <c r="AD9" s="5">
        <f t="shared" si="11"/>
        <v>0</v>
      </c>
      <c r="AE9" s="5">
        <f>((IF(AND((O9="CA"),(K9="Adult (&gt; 15 years)")),(AD9*(VLOOKUP(L9,CA_ingestion!A$1:J$78,10,0))),0)))</f>
        <v>0</v>
      </c>
      <c r="AF9" s="5">
        <f t="shared" si="12"/>
        <v>0</v>
      </c>
      <c r="AG9" s="5">
        <f t="shared" si="13"/>
        <v>0</v>
      </c>
    </row>
    <row r="10" spans="1:33">
      <c r="A10" s="30"/>
      <c r="B10" s="30"/>
      <c r="C10" s="30"/>
      <c r="D10" s="29" t="s">
        <v>369</v>
      </c>
      <c r="E10" s="35">
        <f>VLOOKUP(D10,'List Data'!$A$100:$B$104,2,0)</f>
        <v>0</v>
      </c>
      <c r="F10" s="30"/>
      <c r="G10" s="30"/>
      <c r="H10" s="30"/>
      <c r="I10" s="26" t="str">
        <f>Summary!C$23</f>
        <v>Afghanistan</v>
      </c>
      <c r="J10" s="30"/>
      <c r="K10" s="30" t="s">
        <v>213</v>
      </c>
      <c r="L10" s="30" t="s">
        <v>213</v>
      </c>
      <c r="M10" s="37">
        <f>T10*Summary!$H$27</f>
        <v>0</v>
      </c>
      <c r="N10" s="37">
        <f>U10*Summary!$H$25</f>
        <v>0</v>
      </c>
      <c r="O10" s="5">
        <f>VLOOKUP(L10,'List Data'!A$2:C$94,3,0)</f>
        <v>0</v>
      </c>
      <c r="P10" s="5" t="str">
        <f>VLOOKUP(L10,'List Data'!A$2:B$94,2,0)</f>
        <v>--------</v>
      </c>
      <c r="Q10" s="5">
        <f t="shared" si="6"/>
        <v>10.7</v>
      </c>
      <c r="R10" s="5">
        <f t="shared" si="7"/>
        <v>50</v>
      </c>
      <c r="S10" s="5">
        <f t="shared" si="8"/>
        <v>0</v>
      </c>
      <c r="T10" s="5">
        <f t="shared" si="9"/>
        <v>0</v>
      </c>
      <c r="U10" s="5">
        <f t="shared" si="10"/>
        <v>0</v>
      </c>
      <c r="V10" s="5">
        <f>(IF(AND((O10="OP"),(K10="Child (0-7 years)")),VLOOKUP(($R10*(F10/1000000)),'OP Values'!$A$1:$Q$35,7),))*E10</f>
        <v>0</v>
      </c>
      <c r="W10" s="5">
        <f>(IF(O10="OP",VLOOKUP(($R10*(F10/1000000)),'OP Values'!$A$1:$Q$35,17),))*E10</f>
        <v>0</v>
      </c>
      <c r="X10" s="5">
        <f>(IF(AND((O10="Pb"),(K10="Child (0-7 years)")),(VLOOKUP(F10,Pb!$A$1:$AV$103,13)),0))*E10</f>
        <v>0</v>
      </c>
      <c r="Y10" s="5">
        <f>(IF(AND((O10="Pb"),(K10="Child (0-7 years)")),(VLOOKUP(F10,Pb!$A$2:$AV$103,22)),0))*E10</f>
        <v>0</v>
      </c>
      <c r="Z10" s="5">
        <f>(IF(AND((O10="Pb"),(K10="Adult (&gt; 15 years)")),(VLOOKUP(F10,Pb!$A$2:$AV$103,48)),0))*E10</f>
        <v>0</v>
      </c>
      <c r="AA10" s="5">
        <f>(IF(AND((O10="Hg"),(K10="Child (0-7 years)")),(VLOOKUP(S10,'Hg Values'!$A$1:$M$30,3)),0))*E10</f>
        <v>0</v>
      </c>
      <c r="AB10" s="5">
        <f>(IF(AND((O10="Hg"),(K10="Child (0-7 years)")),(VLOOKUP(S10,'Hg Values'!$A$1:$M$30,13)),0))*E10</f>
        <v>0</v>
      </c>
      <c r="AC10" s="5">
        <f>((IF(AND((O10="CA"),(K10="Adult (&gt; 15 years)")),(VLOOKUP(L10,CA_ingestion!A$1:J$78,7,0)),0))*((F10/1000000)*R10*70))/14</f>
        <v>0</v>
      </c>
      <c r="AD10" s="5">
        <f t="shared" si="11"/>
        <v>0</v>
      </c>
      <c r="AE10" s="5">
        <f>((IF(AND((O10="CA"),(K10="Adult (&gt; 15 years)")),(AD10*(VLOOKUP(L10,CA_ingestion!A$1:J$78,10,0))),0)))</f>
        <v>0</v>
      </c>
      <c r="AF10" s="5">
        <f t="shared" si="12"/>
        <v>0</v>
      </c>
      <c r="AG10" s="5">
        <f t="shared" si="13"/>
        <v>0</v>
      </c>
    </row>
    <row r="11" spans="1:33">
      <c r="A11" s="30"/>
      <c r="B11" s="30"/>
      <c r="C11" s="30"/>
      <c r="D11" s="29" t="s">
        <v>369</v>
      </c>
      <c r="E11" s="35">
        <f>VLOOKUP(D11,'List Data'!$A$100:$B$104,2,0)</f>
        <v>0</v>
      </c>
      <c r="F11" s="30"/>
      <c r="G11" s="30"/>
      <c r="H11" s="30"/>
      <c r="I11" s="26" t="str">
        <f>Summary!C$23</f>
        <v>Afghanistan</v>
      </c>
      <c r="J11" s="30"/>
      <c r="K11" s="30" t="s">
        <v>213</v>
      </c>
      <c r="L11" s="30" t="s">
        <v>213</v>
      </c>
      <c r="M11" s="37">
        <f>T11*Summary!$H$27</f>
        <v>0</v>
      </c>
      <c r="N11" s="37">
        <f>U11*Summary!$H$25</f>
        <v>0</v>
      </c>
      <c r="O11" s="5">
        <f>VLOOKUP(L11,'List Data'!A$2:C$94,3,0)</f>
        <v>0</v>
      </c>
      <c r="P11" s="5" t="str">
        <f>VLOOKUP(L11,'List Data'!A$2:B$94,2,0)</f>
        <v>--------</v>
      </c>
      <c r="Q11" s="5">
        <f t="shared" si="6"/>
        <v>10.7</v>
      </c>
      <c r="R11" s="5">
        <f t="shared" si="7"/>
        <v>50</v>
      </c>
      <c r="S11" s="5">
        <f t="shared" si="8"/>
        <v>0</v>
      </c>
      <c r="T11" s="5">
        <f t="shared" si="9"/>
        <v>0</v>
      </c>
      <c r="U11" s="5">
        <f t="shared" si="10"/>
        <v>0</v>
      </c>
      <c r="V11" s="5">
        <f>(IF(AND((O11="OP"),(K11="Child (0-7 years)")),VLOOKUP(($R11*(F11/1000000)),'OP Values'!$A$1:$Q$35,7),))*E11</f>
        <v>0</v>
      </c>
      <c r="W11" s="5">
        <f>(IF(O11="OP",VLOOKUP(($R11*(F11/1000000)),'OP Values'!$A$1:$Q$35,17),))*E11</f>
        <v>0</v>
      </c>
      <c r="X11" s="5">
        <f>(IF(AND((O11="Pb"),(K11="Child (0-7 years)")),(VLOOKUP(F11,Pb!$A$1:$AV$103,13)),0))*E11</f>
        <v>0</v>
      </c>
      <c r="Y11" s="5">
        <f>(IF(AND((O11="Pb"),(K11="Child (0-7 years)")),(VLOOKUP(F11,Pb!$A$2:$AV$103,22)),0))*E11</f>
        <v>0</v>
      </c>
      <c r="Z11" s="5">
        <f>(IF(AND((O11="Pb"),(K11="Adult (&gt; 15 years)")),(VLOOKUP(F11,Pb!$A$2:$AV$103,48)),0))*E11</f>
        <v>0</v>
      </c>
      <c r="AA11" s="5">
        <f>(IF(AND((O11="Hg"),(K11="Child (0-7 years)")),(VLOOKUP(S11,'Hg Values'!$A$1:$M$30,3)),0))*E11</f>
        <v>0</v>
      </c>
      <c r="AB11" s="5">
        <f>(IF(AND((O11="Hg"),(K11="Child (0-7 years)")),(VLOOKUP(S11,'Hg Values'!$A$1:$M$30,13)),0))*E11</f>
        <v>0</v>
      </c>
      <c r="AC11" s="5">
        <f>((IF(AND((O11="CA"),(K11="Adult (&gt; 15 years)")),(VLOOKUP(L11,CA_ingestion!A$1:J$78,7,0)),0))*((F11/1000000)*R11*70))/14</f>
        <v>0</v>
      </c>
      <c r="AD11" s="5">
        <f t="shared" si="11"/>
        <v>0</v>
      </c>
      <c r="AE11" s="5">
        <f>((IF(AND((O11="CA"),(K11="Adult (&gt; 15 years)")),(AD11*(VLOOKUP(L11,CA_ingestion!A$1:J$78,10,0))),0)))</f>
        <v>0</v>
      </c>
      <c r="AF11" s="5">
        <f t="shared" si="12"/>
        <v>0</v>
      </c>
      <c r="AG11" s="5">
        <f t="shared" si="13"/>
        <v>0</v>
      </c>
    </row>
    <row r="12" spans="1:33">
      <c r="A12" s="30"/>
      <c r="B12" s="30"/>
      <c r="C12" s="30"/>
      <c r="D12" s="29" t="s">
        <v>369</v>
      </c>
      <c r="E12" s="35">
        <f>VLOOKUP(D12,'List Data'!$A$100:$B$104,2,0)</f>
        <v>0</v>
      </c>
      <c r="F12" s="30"/>
      <c r="G12" s="30"/>
      <c r="H12" s="30"/>
      <c r="I12" s="26" t="str">
        <f>Summary!C$23</f>
        <v>Afghanistan</v>
      </c>
      <c r="J12" s="30"/>
      <c r="K12" s="30" t="s">
        <v>213</v>
      </c>
      <c r="L12" s="30" t="s">
        <v>213</v>
      </c>
      <c r="M12" s="37">
        <f>T12*Summary!$H$27</f>
        <v>0</v>
      </c>
      <c r="N12" s="37">
        <f>U12*Summary!$H$25</f>
        <v>0</v>
      </c>
      <c r="O12" s="5">
        <f>VLOOKUP(L12,'List Data'!A$2:C$94,3,0)</f>
        <v>0</v>
      </c>
      <c r="P12" s="5" t="str">
        <f>VLOOKUP(L12,'List Data'!A$2:B$94,2,0)</f>
        <v>--------</v>
      </c>
      <c r="Q12" s="5">
        <f t="shared" si="6"/>
        <v>10.7</v>
      </c>
      <c r="R12" s="5">
        <f t="shared" si="7"/>
        <v>50</v>
      </c>
      <c r="S12" s="5">
        <f t="shared" si="8"/>
        <v>0</v>
      </c>
      <c r="T12" s="5">
        <f t="shared" si="9"/>
        <v>0</v>
      </c>
      <c r="U12" s="5">
        <f t="shared" si="10"/>
        <v>0</v>
      </c>
      <c r="V12" s="5">
        <f>(IF(AND((O12="OP"),(K12="Child (0-7 years)")),VLOOKUP(($R12*(F12/1000000)),'OP Values'!$A$1:$Q$35,7),))*E12</f>
        <v>0</v>
      </c>
      <c r="W12" s="5">
        <f>(IF(O12="OP",VLOOKUP(($R12*(F12/1000000)),'OP Values'!$A$1:$Q$35,17),))*E12</f>
        <v>0</v>
      </c>
      <c r="X12" s="5">
        <f>(IF(AND((O12="Pb"),(K12="Child (0-7 years)")),(VLOOKUP(F12,Pb!$A$1:$AV$103,13)),0))*E12</f>
        <v>0</v>
      </c>
      <c r="Y12" s="5">
        <f>(IF(AND((O12="Pb"),(K12="Child (0-7 years)")),(VLOOKUP(F12,Pb!$A$2:$AV$103,22)),0))*E12</f>
        <v>0</v>
      </c>
      <c r="Z12" s="5">
        <f>(IF(AND((O12="Pb"),(K12="Adult (&gt; 15 years)")),(VLOOKUP(F12,Pb!$A$2:$AV$103,48)),0))*E12</f>
        <v>0</v>
      </c>
      <c r="AA12" s="5">
        <f>(IF(AND((O12="Hg"),(K12="Child (0-7 years)")),(VLOOKUP(S12,'Hg Values'!$A$1:$M$30,3)),0))*E12</f>
        <v>0</v>
      </c>
      <c r="AB12" s="5">
        <f>(IF(AND((O12="Hg"),(K12="Child (0-7 years)")),(VLOOKUP(S12,'Hg Values'!$A$1:$M$30,13)),0))*E12</f>
        <v>0</v>
      </c>
      <c r="AC12" s="5">
        <f>((IF(AND((O12="CA"),(K12="Adult (&gt; 15 years)")),(VLOOKUP(L12,CA_ingestion!A$1:J$78,7,0)),0))*((F12/1000000)*R12*70))/14</f>
        <v>0</v>
      </c>
      <c r="AD12" s="5">
        <f t="shared" si="11"/>
        <v>0</v>
      </c>
      <c r="AE12" s="5">
        <f>((IF(AND((O12="CA"),(K12="Adult (&gt; 15 years)")),(AD12*(VLOOKUP(L12,CA_ingestion!A$1:J$78,10,0))),0)))</f>
        <v>0</v>
      </c>
      <c r="AF12" s="5">
        <f t="shared" si="12"/>
        <v>0</v>
      </c>
      <c r="AG12" s="5">
        <f t="shared" si="13"/>
        <v>0</v>
      </c>
    </row>
    <row r="13" spans="1:33">
      <c r="A13" s="30"/>
      <c r="B13" s="30"/>
      <c r="C13" s="30"/>
      <c r="D13" s="29" t="s">
        <v>369</v>
      </c>
      <c r="E13" s="35">
        <f>VLOOKUP(D13,'List Data'!$A$100:$B$104,2,0)</f>
        <v>0</v>
      </c>
      <c r="F13" s="30"/>
      <c r="G13" s="30"/>
      <c r="H13" s="30"/>
      <c r="I13" s="26" t="str">
        <f>Summary!C$23</f>
        <v>Afghanistan</v>
      </c>
      <c r="J13" s="30"/>
      <c r="K13" s="30" t="s">
        <v>213</v>
      </c>
      <c r="L13" s="30" t="s">
        <v>213</v>
      </c>
      <c r="M13" s="37">
        <f>T13*Summary!$H$27</f>
        <v>0</v>
      </c>
      <c r="N13" s="37">
        <f>U13*Summary!$H$25</f>
        <v>0</v>
      </c>
      <c r="O13" s="5">
        <f>VLOOKUP(L13,'List Data'!A$2:C$94,3,0)</f>
        <v>0</v>
      </c>
      <c r="P13" s="5" t="str">
        <f>VLOOKUP(L13,'List Data'!A$2:B$94,2,0)</f>
        <v>--------</v>
      </c>
      <c r="Q13" s="5">
        <f t="shared" si="6"/>
        <v>10.7</v>
      </c>
      <c r="R13" s="5">
        <f t="shared" si="7"/>
        <v>50</v>
      </c>
      <c r="S13" s="5">
        <f t="shared" si="8"/>
        <v>0</v>
      </c>
      <c r="T13" s="5">
        <f t="shared" si="9"/>
        <v>0</v>
      </c>
      <c r="U13" s="5">
        <f t="shared" si="10"/>
        <v>0</v>
      </c>
      <c r="V13" s="5">
        <f>(IF(AND((O13="OP"),(K13="Child (0-7 years)")),VLOOKUP(($R13*(F13/1000000)),'OP Values'!$A$1:$Q$35,7),))*E13</f>
        <v>0</v>
      </c>
      <c r="W13" s="5">
        <f>(IF(O13="OP",VLOOKUP(($R13*(F13/1000000)),'OP Values'!$A$1:$Q$35,17),))*E13</f>
        <v>0</v>
      </c>
      <c r="X13" s="5">
        <f>(IF(AND((O13="Pb"),(K13="Child (0-7 years)")),(VLOOKUP(F13,Pb!$A$1:$AV$103,13)),0))*E13</f>
        <v>0</v>
      </c>
      <c r="Y13" s="5">
        <f>(IF(AND((O13="Pb"),(K13="Child (0-7 years)")),(VLOOKUP(F13,Pb!$A$2:$AV$103,22)),0))*E13</f>
        <v>0</v>
      </c>
      <c r="Z13" s="5">
        <f>(IF(AND((O13="Pb"),(K13="Adult (&gt; 15 years)")),(VLOOKUP(F13,Pb!$A$2:$AV$103,48)),0))*E13</f>
        <v>0</v>
      </c>
      <c r="AA13" s="5">
        <f>(IF(AND((O13="Hg"),(K13="Child (0-7 years)")),(VLOOKUP(S13,'Hg Values'!$A$1:$M$30,3)),0))*E13</f>
        <v>0</v>
      </c>
      <c r="AB13" s="5">
        <f>(IF(AND((O13="Hg"),(K13="Child (0-7 years)")),(VLOOKUP(S13,'Hg Values'!$A$1:$M$30,13)),0))*E13</f>
        <v>0</v>
      </c>
      <c r="AC13" s="5">
        <f>((IF(AND((O13="CA"),(K13="Adult (&gt; 15 years)")),(VLOOKUP(L13,CA_ingestion!A$1:J$78,7,0)),0))*((F13/1000000)*R13*70))/14</f>
        <v>0</v>
      </c>
      <c r="AD13" s="5">
        <f t="shared" si="11"/>
        <v>0</v>
      </c>
      <c r="AE13" s="5">
        <f>((IF(AND((O13="CA"),(K13="Adult (&gt; 15 years)")),(AD13*(VLOOKUP(L13,CA_ingestion!A$1:J$78,10,0))),0)))</f>
        <v>0</v>
      </c>
      <c r="AF13" s="5">
        <f t="shared" si="12"/>
        <v>0</v>
      </c>
      <c r="AG13" s="5">
        <f t="shared" si="13"/>
        <v>0</v>
      </c>
    </row>
    <row r="14" spans="1:33">
      <c r="A14" s="30"/>
      <c r="B14" s="30"/>
      <c r="C14" s="30"/>
      <c r="D14" s="29" t="s">
        <v>369</v>
      </c>
      <c r="E14" s="35">
        <f>VLOOKUP(D14,'List Data'!$A$100:$B$104,2,0)</f>
        <v>0</v>
      </c>
      <c r="F14" s="30"/>
      <c r="G14" s="30"/>
      <c r="H14" s="30"/>
      <c r="I14" s="26" t="str">
        <f>Summary!C$23</f>
        <v>Afghanistan</v>
      </c>
      <c r="J14" s="30"/>
      <c r="K14" s="30" t="s">
        <v>213</v>
      </c>
      <c r="L14" s="30" t="s">
        <v>213</v>
      </c>
      <c r="M14" s="37">
        <f>T14*Summary!$H$27</f>
        <v>0</v>
      </c>
      <c r="N14" s="37">
        <f>U14*Summary!$H$25</f>
        <v>0</v>
      </c>
      <c r="O14" s="5">
        <f>VLOOKUP(L14,'List Data'!A$2:C$94,3,0)</f>
        <v>0</v>
      </c>
      <c r="P14" s="5" t="str">
        <f>VLOOKUP(L14,'List Data'!A$2:B$94,2,0)</f>
        <v>--------</v>
      </c>
      <c r="Q14" s="5">
        <f t="shared" si="6"/>
        <v>10.7</v>
      </c>
      <c r="R14" s="5">
        <f t="shared" si="7"/>
        <v>50</v>
      </c>
      <c r="S14" s="5">
        <f t="shared" si="8"/>
        <v>0</v>
      </c>
      <c r="T14" s="5">
        <f t="shared" si="9"/>
        <v>0</v>
      </c>
      <c r="U14" s="5">
        <f t="shared" si="10"/>
        <v>0</v>
      </c>
      <c r="V14" s="5">
        <f>(IF(AND((O14="OP"),(K14="Child (0-7 years)")),VLOOKUP(($R14*(F14/1000000)),'OP Values'!$A$1:$Q$35,7),))*E14</f>
        <v>0</v>
      </c>
      <c r="W14" s="5">
        <f>(IF(O14="OP",VLOOKUP(($R14*(F14/1000000)),'OP Values'!$A$1:$Q$35,17),))*E14</f>
        <v>0</v>
      </c>
      <c r="X14" s="5">
        <f>(IF(AND((O14="Pb"),(K14="Child (0-7 years)")),(VLOOKUP(F14,Pb!$A$1:$AV$103,13)),0))*E14</f>
        <v>0</v>
      </c>
      <c r="Y14" s="5">
        <f>(IF(AND((O14="Pb"),(K14="Child (0-7 years)")),(VLOOKUP(F14,Pb!$A$2:$AV$103,22)),0))*E14</f>
        <v>0</v>
      </c>
      <c r="Z14" s="5">
        <f>(IF(AND((O14="Pb"),(K14="Adult (&gt; 15 years)")),(VLOOKUP(F14,Pb!$A$2:$AV$103,48)),0))*E14</f>
        <v>0</v>
      </c>
      <c r="AA14" s="5">
        <f>(IF(AND((O14="Hg"),(K14="Child (0-7 years)")),(VLOOKUP(S14,'Hg Values'!$A$1:$M$30,3)),0))*E14</f>
        <v>0</v>
      </c>
      <c r="AB14" s="5">
        <f>(IF(AND((O14="Hg"),(K14="Child (0-7 years)")),(VLOOKUP(S14,'Hg Values'!$A$1:$M$30,13)),0))*E14</f>
        <v>0</v>
      </c>
      <c r="AC14" s="5">
        <f>((IF(AND((O14="CA"),(K14="Adult (&gt; 15 years)")),(VLOOKUP(L14,CA_ingestion!A$1:J$78,7,0)),0))*((F14/1000000)*R14*70))/14</f>
        <v>0</v>
      </c>
      <c r="AD14" s="5">
        <f t="shared" si="11"/>
        <v>0</v>
      </c>
      <c r="AE14" s="5">
        <f>((IF(AND((O14="CA"),(K14="Adult (&gt; 15 years)")),(AD14*(VLOOKUP(L14,CA_ingestion!A$1:J$78,10,0))),0)))</f>
        <v>0</v>
      </c>
      <c r="AF14" s="5">
        <f t="shared" si="12"/>
        <v>0</v>
      </c>
      <c r="AG14" s="5">
        <f t="shared" si="13"/>
        <v>0</v>
      </c>
    </row>
    <row r="15" spans="1:33">
      <c r="A15" s="30"/>
      <c r="B15" s="30"/>
      <c r="C15" s="30"/>
      <c r="D15" s="29" t="s">
        <v>369</v>
      </c>
      <c r="E15" s="35">
        <f>VLOOKUP(D15,'List Data'!$A$100:$B$104,2,0)</f>
        <v>0</v>
      </c>
      <c r="F15" s="30"/>
      <c r="G15" s="30"/>
      <c r="H15" s="30"/>
      <c r="I15" s="26" t="str">
        <f>Summary!C$23</f>
        <v>Afghanistan</v>
      </c>
      <c r="J15" s="30"/>
      <c r="K15" s="30" t="s">
        <v>213</v>
      </c>
      <c r="L15" s="30" t="s">
        <v>213</v>
      </c>
      <c r="M15" s="37">
        <f>T15*Summary!$H$27</f>
        <v>0</v>
      </c>
      <c r="N15" s="37">
        <f>U15*Summary!$H$25</f>
        <v>0</v>
      </c>
      <c r="O15" s="5">
        <f>VLOOKUP(L15,'List Data'!A$2:C$94,3,0)</f>
        <v>0</v>
      </c>
      <c r="P15" s="5" t="str">
        <f>VLOOKUP(L15,'List Data'!A$2:B$94,2,0)</f>
        <v>--------</v>
      </c>
      <c r="Q15" s="5">
        <f t="shared" si="6"/>
        <v>10.7</v>
      </c>
      <c r="R15" s="5">
        <f t="shared" si="7"/>
        <v>50</v>
      </c>
      <c r="S15" s="5">
        <f t="shared" si="8"/>
        <v>0</v>
      </c>
      <c r="T15" s="5">
        <f t="shared" si="9"/>
        <v>0</v>
      </c>
      <c r="U15" s="5">
        <f t="shared" si="10"/>
        <v>0</v>
      </c>
      <c r="V15" s="5">
        <f>(IF(AND((O15="OP"),(K15="Child (0-7 years)")),VLOOKUP(($R15*(F15/1000000)),'OP Values'!$A$1:$Q$35,7),))*E15</f>
        <v>0</v>
      </c>
      <c r="W15" s="5">
        <f>(IF(O15="OP",VLOOKUP(($R15*(F15/1000000)),'OP Values'!$A$1:$Q$35,17),))*E15</f>
        <v>0</v>
      </c>
      <c r="X15" s="5">
        <f>(IF(AND((O15="Pb"),(K15="Child (0-7 years)")),(VLOOKUP(F15,Pb!$A$1:$AV$103,13)),0))*E15</f>
        <v>0</v>
      </c>
      <c r="Y15" s="5">
        <f>(IF(AND((O15="Pb"),(K15="Child (0-7 years)")),(VLOOKUP(F15,Pb!$A$2:$AV$103,22)),0))*E15</f>
        <v>0</v>
      </c>
      <c r="Z15" s="5">
        <f>(IF(AND((O15="Pb"),(K15="Adult (&gt; 15 years)")),(VLOOKUP(F15,Pb!$A$2:$AV$103,48)),0))*E15</f>
        <v>0</v>
      </c>
      <c r="AA15" s="5">
        <f>(IF(AND((O15="Hg"),(K15="Child (0-7 years)")),(VLOOKUP(S15,'Hg Values'!$A$1:$M$30,3)),0))*E15</f>
        <v>0</v>
      </c>
      <c r="AB15" s="5">
        <f>(IF(AND((O15="Hg"),(K15="Child (0-7 years)")),(VLOOKUP(S15,'Hg Values'!$A$1:$M$30,13)),0))*E15</f>
        <v>0</v>
      </c>
      <c r="AC15" s="5">
        <f>((IF(AND((O15="CA"),(K15="Adult (&gt; 15 years)")),(VLOOKUP(L15,CA_ingestion!A$1:J$78,7,0)),0))*((F15/1000000)*R15*70))/14</f>
        <v>0</v>
      </c>
      <c r="AD15" s="5">
        <f t="shared" si="11"/>
        <v>0</v>
      </c>
      <c r="AE15" s="5">
        <f>((IF(AND((O15="CA"),(K15="Adult (&gt; 15 years)")),(AD15*(VLOOKUP(L15,CA_ingestion!A$1:J$78,10,0))),0)))</f>
        <v>0</v>
      </c>
      <c r="AF15" s="5">
        <f t="shared" si="12"/>
        <v>0</v>
      </c>
      <c r="AG15" s="5">
        <f t="shared" si="13"/>
        <v>0</v>
      </c>
    </row>
    <row r="16" spans="1:33">
      <c r="A16" s="30"/>
      <c r="B16" s="30"/>
      <c r="C16" s="30"/>
      <c r="D16" s="29" t="s">
        <v>369</v>
      </c>
      <c r="E16" s="35">
        <f>VLOOKUP(D16,'List Data'!$A$100:$B$104,2,0)</f>
        <v>0</v>
      </c>
      <c r="F16" s="30"/>
      <c r="G16" s="30"/>
      <c r="H16" s="30"/>
      <c r="I16" s="26" t="str">
        <f>Summary!C$23</f>
        <v>Afghanistan</v>
      </c>
      <c r="J16" s="30"/>
      <c r="K16" s="30" t="s">
        <v>213</v>
      </c>
      <c r="L16" s="30" t="s">
        <v>213</v>
      </c>
      <c r="M16" s="37">
        <f>T16*Summary!$H$27</f>
        <v>0</v>
      </c>
      <c r="N16" s="37">
        <f>U16*Summary!$H$25</f>
        <v>0</v>
      </c>
      <c r="O16" s="5">
        <f>VLOOKUP(L16,'List Data'!A$2:C$94,3,0)</f>
        <v>0</v>
      </c>
      <c r="P16" s="5" t="str">
        <f>VLOOKUP(L16,'List Data'!A$2:B$94,2,0)</f>
        <v>--------</v>
      </c>
      <c r="Q16" s="5">
        <f t="shared" si="6"/>
        <v>10.7</v>
      </c>
      <c r="R16" s="5">
        <f t="shared" si="7"/>
        <v>50</v>
      </c>
      <c r="S16" s="5">
        <f t="shared" si="8"/>
        <v>0</v>
      </c>
      <c r="T16" s="5">
        <f t="shared" si="9"/>
        <v>0</v>
      </c>
      <c r="U16" s="5">
        <f t="shared" si="10"/>
        <v>0</v>
      </c>
      <c r="V16" s="5">
        <f>(IF(AND((O16="OP"),(K16="Child (0-7 years)")),VLOOKUP(($R16*(F16/1000000)),'OP Values'!$A$1:$Q$35,7),))*E16</f>
        <v>0</v>
      </c>
      <c r="W16" s="5">
        <f>(IF(O16="OP",VLOOKUP(($R16*(F16/1000000)),'OP Values'!$A$1:$Q$35,17),))*E16</f>
        <v>0</v>
      </c>
      <c r="X16" s="5">
        <f>(IF(AND((O16="Pb"),(K16="Child (0-7 years)")),(VLOOKUP(F16,Pb!$A$1:$AV$103,13)),0))*E16</f>
        <v>0</v>
      </c>
      <c r="Y16" s="5">
        <f>(IF(AND((O16="Pb"),(K16="Child (0-7 years)")),(VLOOKUP(F16,Pb!$A$2:$AV$103,22)),0))*E16</f>
        <v>0</v>
      </c>
      <c r="Z16" s="5">
        <f>(IF(AND((O16="Pb"),(K16="Adult (&gt; 15 years)")),(VLOOKUP(F16,Pb!$A$2:$AV$103,48)),0))*E16</f>
        <v>0</v>
      </c>
      <c r="AA16" s="5">
        <f>(IF(AND((O16="Hg"),(K16="Child (0-7 years)")),(VLOOKUP(S16,'Hg Values'!$A$1:$M$30,3)),0))*E16</f>
        <v>0</v>
      </c>
      <c r="AB16" s="5">
        <f>(IF(AND((O16="Hg"),(K16="Child (0-7 years)")),(VLOOKUP(S16,'Hg Values'!$A$1:$M$30,13)),0))*E16</f>
        <v>0</v>
      </c>
      <c r="AC16" s="5">
        <f>((IF(AND((O16="CA"),(K16="Adult (&gt; 15 years)")),(VLOOKUP(L16,CA_ingestion!A$1:J$78,7,0)),0))*((F16/1000000)*R16*70))/14</f>
        <v>0</v>
      </c>
      <c r="AD16" s="5">
        <f t="shared" si="11"/>
        <v>0</v>
      </c>
      <c r="AE16" s="5">
        <f>((IF(AND((O16="CA"),(K16="Adult (&gt; 15 years)")),(AD16*(VLOOKUP(L16,CA_ingestion!A$1:J$78,10,0))),0)))</f>
        <v>0</v>
      </c>
      <c r="AF16" s="5">
        <f t="shared" si="12"/>
        <v>0</v>
      </c>
      <c r="AG16" s="5">
        <f t="shared" si="13"/>
        <v>0</v>
      </c>
    </row>
    <row r="17" spans="1:33">
      <c r="A17" s="30"/>
      <c r="B17" s="30"/>
      <c r="C17" s="30"/>
      <c r="D17" s="29" t="s">
        <v>369</v>
      </c>
      <c r="E17" s="35">
        <f>VLOOKUP(D17,'List Data'!$A$100:$B$104,2,0)</f>
        <v>0</v>
      </c>
      <c r="F17" s="30"/>
      <c r="G17" s="30"/>
      <c r="H17" s="30"/>
      <c r="I17" s="26" t="str">
        <f>Summary!C$23</f>
        <v>Afghanistan</v>
      </c>
      <c r="J17" s="30"/>
      <c r="K17" s="30" t="s">
        <v>213</v>
      </c>
      <c r="L17" s="30" t="s">
        <v>213</v>
      </c>
      <c r="M17" s="37">
        <f>T17*Summary!$H$27</f>
        <v>0</v>
      </c>
      <c r="N17" s="37">
        <f>U17*Summary!$H$25</f>
        <v>0</v>
      </c>
      <c r="O17" s="5">
        <f>VLOOKUP(L17,'List Data'!A$2:C$94,3,0)</f>
        <v>0</v>
      </c>
      <c r="P17" s="5" t="str">
        <f>VLOOKUP(L17,'List Data'!A$2:B$94,2,0)</f>
        <v>--------</v>
      </c>
      <c r="Q17" s="5">
        <f t="shared" si="6"/>
        <v>10.7</v>
      </c>
      <c r="R17" s="5">
        <f t="shared" si="7"/>
        <v>50</v>
      </c>
      <c r="S17" s="5">
        <f t="shared" si="8"/>
        <v>0</v>
      </c>
      <c r="T17" s="5">
        <f t="shared" si="9"/>
        <v>0</v>
      </c>
      <c r="U17" s="5">
        <f t="shared" si="10"/>
        <v>0</v>
      </c>
      <c r="V17" s="5">
        <f>(IF(AND((O17="OP"),(K17="Child (0-7 years)")),VLOOKUP(($R17*(F17/1000000)),'OP Values'!$A$1:$Q$35,7),))*E17</f>
        <v>0</v>
      </c>
      <c r="W17" s="5">
        <f>(IF(O17="OP",VLOOKUP(($R17*(F17/1000000)),'OP Values'!$A$1:$Q$35,17),))*E17</f>
        <v>0</v>
      </c>
      <c r="X17" s="5">
        <f>(IF(AND((O17="Pb"),(K17="Child (0-7 years)")),(VLOOKUP(F17,Pb!$A$1:$AV$103,13)),0))*E17</f>
        <v>0</v>
      </c>
      <c r="Y17" s="5">
        <f>(IF(AND((O17="Pb"),(K17="Child (0-7 years)")),(VLOOKUP(F17,Pb!$A$2:$AV$103,22)),0))*E17</f>
        <v>0</v>
      </c>
      <c r="Z17" s="5">
        <f>(IF(AND((O17="Pb"),(K17="Adult (&gt; 15 years)")),(VLOOKUP(F17,Pb!$A$2:$AV$103,48)),0))*E17</f>
        <v>0</v>
      </c>
      <c r="AA17" s="5">
        <f>(IF(AND((O17="Hg"),(K17="Child (0-7 years)")),(VLOOKUP(S17,'Hg Values'!$A$1:$M$30,3)),0))*E17</f>
        <v>0</v>
      </c>
      <c r="AB17" s="5">
        <f>(IF(AND((O17="Hg"),(K17="Child (0-7 years)")),(VLOOKUP(S17,'Hg Values'!$A$1:$M$30,13)),0))*E17</f>
        <v>0</v>
      </c>
      <c r="AC17" s="5">
        <f>((IF(AND((O17="CA"),(K17="Adult (&gt; 15 years)")),(VLOOKUP(L17,CA_ingestion!A$1:J$78,7,0)),0))*((F17/1000000)*R17*70))/14</f>
        <v>0</v>
      </c>
      <c r="AD17" s="5">
        <f t="shared" si="11"/>
        <v>0</v>
      </c>
      <c r="AE17" s="5">
        <f>((IF(AND((O17="CA"),(K17="Adult (&gt; 15 years)")),(AD17*(VLOOKUP(L17,CA_ingestion!A$1:J$78,10,0))),0)))</f>
        <v>0</v>
      </c>
      <c r="AF17" s="5">
        <f t="shared" si="12"/>
        <v>0</v>
      </c>
      <c r="AG17" s="5">
        <f t="shared" si="13"/>
        <v>0</v>
      </c>
    </row>
    <row r="18" spans="1:33">
      <c r="A18" s="30"/>
      <c r="B18" s="30"/>
      <c r="C18" s="30"/>
      <c r="D18" s="29" t="s">
        <v>369</v>
      </c>
      <c r="E18" s="35">
        <f>VLOOKUP(D18,'List Data'!$A$100:$B$104,2,0)</f>
        <v>0</v>
      </c>
      <c r="F18" s="30"/>
      <c r="G18" s="30"/>
      <c r="H18" s="30"/>
      <c r="I18" s="26" t="str">
        <f>Summary!C$23</f>
        <v>Afghanistan</v>
      </c>
      <c r="J18" s="30"/>
      <c r="K18" s="30" t="s">
        <v>213</v>
      </c>
      <c r="L18" s="30" t="s">
        <v>213</v>
      </c>
      <c r="M18" s="37">
        <f>T18*Summary!$H$27</f>
        <v>0</v>
      </c>
      <c r="N18" s="37">
        <f>U18*Summary!$H$25</f>
        <v>0</v>
      </c>
      <c r="O18" s="5">
        <f>VLOOKUP(L18,'List Data'!A$2:C$94,3,0)</f>
        <v>0</v>
      </c>
      <c r="P18" s="5" t="str">
        <f>VLOOKUP(L18,'List Data'!A$2:B$94,2,0)</f>
        <v>--------</v>
      </c>
      <c r="Q18" s="5">
        <f t="shared" si="6"/>
        <v>10.7</v>
      </c>
      <c r="R18" s="5">
        <f t="shared" si="7"/>
        <v>50</v>
      </c>
      <c r="S18" s="5">
        <f t="shared" si="8"/>
        <v>0</v>
      </c>
      <c r="T18" s="5">
        <f t="shared" si="9"/>
        <v>0</v>
      </c>
      <c r="U18" s="5">
        <f t="shared" si="10"/>
        <v>0</v>
      </c>
      <c r="V18" s="5">
        <f>(IF(AND((O18="OP"),(K18="Child (0-7 years)")),VLOOKUP(($R18*(F18/1000000)),'OP Values'!$A$1:$Q$35,7),))*E18</f>
        <v>0</v>
      </c>
      <c r="W18" s="5">
        <f>(IF(O18="OP",VLOOKUP(($R18*(F18/1000000)),'OP Values'!$A$1:$Q$35,17),))*E18</f>
        <v>0</v>
      </c>
      <c r="X18" s="5">
        <f>(IF(AND((O18="Pb"),(K18="Child (0-7 years)")),(VLOOKUP(F18,Pb!$A$1:$AV$103,13)),0))*E18</f>
        <v>0</v>
      </c>
      <c r="Y18" s="5">
        <f>(IF(AND((O18="Pb"),(K18="Child (0-7 years)")),(VLOOKUP(F18,Pb!$A$2:$AV$103,22)),0))*E18</f>
        <v>0</v>
      </c>
      <c r="Z18" s="5">
        <f>(IF(AND((O18="Pb"),(K18="Adult (&gt; 15 years)")),(VLOOKUP(F18,Pb!$A$2:$AV$103,48)),0))*E18</f>
        <v>0</v>
      </c>
      <c r="AA18" s="5">
        <f>(IF(AND((O18="Hg"),(K18="Child (0-7 years)")),(VLOOKUP(S18,'Hg Values'!$A$1:$M$30,3)),0))*E18</f>
        <v>0</v>
      </c>
      <c r="AB18" s="5">
        <f>(IF(AND((O18="Hg"),(K18="Child (0-7 years)")),(VLOOKUP(S18,'Hg Values'!$A$1:$M$30,13)),0))*E18</f>
        <v>0</v>
      </c>
      <c r="AC18" s="5">
        <f>((IF(AND((O18="CA"),(K18="Adult (&gt; 15 years)")),(VLOOKUP(L18,CA_ingestion!A$1:J$78,7,0)),0))*((F18/1000000)*R18*70))/14</f>
        <v>0</v>
      </c>
      <c r="AD18" s="5">
        <f t="shared" si="11"/>
        <v>0</v>
      </c>
      <c r="AE18" s="5">
        <f>((IF(AND((O18="CA"),(K18="Adult (&gt; 15 years)")),(AD18*(VLOOKUP(L18,CA_ingestion!A$1:J$78,10,0))),0)))</f>
        <v>0</v>
      </c>
      <c r="AF18" s="5">
        <f t="shared" si="12"/>
        <v>0</v>
      </c>
      <c r="AG18" s="5">
        <f t="shared" si="13"/>
        <v>0</v>
      </c>
    </row>
    <row r="19" spans="1:33">
      <c r="A19" s="30"/>
      <c r="B19" s="30"/>
      <c r="C19" s="30"/>
      <c r="D19" s="29" t="s">
        <v>369</v>
      </c>
      <c r="E19" s="35">
        <f>VLOOKUP(D19,'List Data'!$A$100:$B$104,2,0)</f>
        <v>0</v>
      </c>
      <c r="F19" s="30"/>
      <c r="G19" s="30"/>
      <c r="H19" s="30"/>
      <c r="I19" s="26" t="str">
        <f>Summary!C$23</f>
        <v>Afghanistan</v>
      </c>
      <c r="J19" s="30"/>
      <c r="K19" s="30" t="s">
        <v>213</v>
      </c>
      <c r="L19" s="30" t="s">
        <v>213</v>
      </c>
      <c r="M19" s="37">
        <f>T19*Summary!$H$27</f>
        <v>0</v>
      </c>
      <c r="N19" s="37">
        <f>U19*Summary!$H$25</f>
        <v>0</v>
      </c>
      <c r="O19" s="5">
        <f>VLOOKUP(L19,'List Data'!A$2:C$94,3,0)</f>
        <v>0</v>
      </c>
      <c r="P19" s="5" t="str">
        <f>VLOOKUP(L19,'List Data'!A$2:B$94,2,0)</f>
        <v>--------</v>
      </c>
      <c r="Q19" s="5">
        <f t="shared" si="6"/>
        <v>10.7</v>
      </c>
      <c r="R19" s="5">
        <f t="shared" si="7"/>
        <v>50</v>
      </c>
      <c r="S19" s="5">
        <f t="shared" si="8"/>
        <v>0</v>
      </c>
      <c r="T19" s="5">
        <f t="shared" si="9"/>
        <v>0</v>
      </c>
      <c r="U19" s="5">
        <f t="shared" si="10"/>
        <v>0</v>
      </c>
      <c r="V19" s="5">
        <f>(IF(AND((O19="OP"),(K19="Child (0-7 years)")),VLOOKUP(($R19*(F19/1000000)),'OP Values'!$A$1:$Q$35,7),))*E19</f>
        <v>0</v>
      </c>
      <c r="W19" s="5">
        <f>(IF(O19="OP",VLOOKUP(($R19*(F19/1000000)),'OP Values'!$A$1:$Q$35,17),))*E19</f>
        <v>0</v>
      </c>
      <c r="X19" s="5">
        <f>(IF(AND((O19="Pb"),(K19="Child (0-7 years)")),(VLOOKUP(F19,Pb!$A$1:$AV$103,13)),0))*E19</f>
        <v>0</v>
      </c>
      <c r="Y19" s="5">
        <f>(IF(AND((O19="Pb"),(K19="Child (0-7 years)")),(VLOOKUP(F19,Pb!$A$2:$AV$103,22)),0))*E19</f>
        <v>0</v>
      </c>
      <c r="Z19" s="5">
        <f>(IF(AND((O19="Pb"),(K19="Adult (&gt; 15 years)")),(VLOOKUP(F19,Pb!$A$2:$AV$103,48)),0))*E19</f>
        <v>0</v>
      </c>
      <c r="AA19" s="5">
        <f>(IF(AND((O19="Hg"),(K19="Child (0-7 years)")),(VLOOKUP(S19,'Hg Values'!$A$1:$M$30,3)),0))*E19</f>
        <v>0</v>
      </c>
      <c r="AB19" s="5">
        <f>(IF(AND((O19="Hg"),(K19="Child (0-7 years)")),(VLOOKUP(S19,'Hg Values'!$A$1:$M$30,13)),0))*E19</f>
        <v>0</v>
      </c>
      <c r="AC19" s="5">
        <f>((IF(AND((O19="CA"),(K19="Adult (&gt; 15 years)")),(VLOOKUP(L19,CA_ingestion!A$1:J$78,7,0)),0))*((F19/1000000)*R19*70))/14</f>
        <v>0</v>
      </c>
      <c r="AD19" s="5">
        <f t="shared" si="11"/>
        <v>0</v>
      </c>
      <c r="AE19" s="5">
        <f>((IF(AND((O19="CA"),(K19="Adult (&gt; 15 years)")),(AD19*(VLOOKUP(L19,CA_ingestion!A$1:J$78,10,0))),0)))</f>
        <v>0</v>
      </c>
      <c r="AF19" s="5">
        <f t="shared" si="12"/>
        <v>0</v>
      </c>
      <c r="AG19" s="5">
        <f t="shared" si="13"/>
        <v>0</v>
      </c>
    </row>
    <row r="20" spans="1:33">
      <c r="A20" s="30"/>
      <c r="B20" s="30"/>
      <c r="C20" s="30"/>
      <c r="D20" s="29" t="s">
        <v>369</v>
      </c>
      <c r="E20" s="35">
        <f>VLOOKUP(D20,'List Data'!$A$100:$B$104,2,0)</f>
        <v>0</v>
      </c>
      <c r="F20" s="30"/>
      <c r="G20" s="30"/>
      <c r="H20" s="30"/>
      <c r="I20" s="26" t="str">
        <f>Summary!C$23</f>
        <v>Afghanistan</v>
      </c>
      <c r="J20" s="30"/>
      <c r="K20" s="30" t="s">
        <v>213</v>
      </c>
      <c r="L20" s="30" t="s">
        <v>213</v>
      </c>
      <c r="M20" s="37">
        <f>T20*Summary!$H$27</f>
        <v>0</v>
      </c>
      <c r="N20" s="37">
        <f>U20*Summary!$H$25</f>
        <v>0</v>
      </c>
      <c r="O20" s="5">
        <f>VLOOKUP(L20,'List Data'!A$2:C$94,3,0)</f>
        <v>0</v>
      </c>
      <c r="P20" s="5" t="str">
        <f>VLOOKUP(L20,'List Data'!A$2:B$94,2,0)</f>
        <v>--------</v>
      </c>
      <c r="Q20" s="5">
        <f t="shared" si="6"/>
        <v>10.7</v>
      </c>
      <c r="R20" s="5">
        <f t="shared" si="7"/>
        <v>50</v>
      </c>
      <c r="S20" s="5">
        <f t="shared" si="8"/>
        <v>0</v>
      </c>
      <c r="T20" s="5">
        <f t="shared" si="9"/>
        <v>0</v>
      </c>
      <c r="U20" s="5">
        <f t="shared" si="10"/>
        <v>0</v>
      </c>
      <c r="V20" s="5">
        <f>(IF(AND((O20="OP"),(K20="Child (0-7 years)")),VLOOKUP(($R20*(F20/1000000)),'OP Values'!$A$1:$Q$35,7),))*E20</f>
        <v>0</v>
      </c>
      <c r="W20" s="5">
        <f>(IF(O20="OP",VLOOKUP(($R20*(F20/1000000)),'OP Values'!$A$1:$Q$35,17),))*E20</f>
        <v>0</v>
      </c>
      <c r="X20" s="5">
        <f>(IF(AND((O20="Pb"),(K20="Child (0-7 years)")),(VLOOKUP(F20,Pb!$A$1:$AV$103,13)),0))*E20</f>
        <v>0</v>
      </c>
      <c r="Y20" s="5">
        <f>(IF(AND((O20="Pb"),(K20="Child (0-7 years)")),(VLOOKUP(F20,Pb!$A$2:$AV$103,22)),0))*E20</f>
        <v>0</v>
      </c>
      <c r="Z20" s="5">
        <f>(IF(AND((O20="Pb"),(K20="Adult (&gt; 15 years)")),(VLOOKUP(F20,Pb!$A$2:$AV$103,48)),0))*E20</f>
        <v>0</v>
      </c>
      <c r="AA20" s="5">
        <f>(IF(AND((O20="Hg"),(K20="Child (0-7 years)")),(VLOOKUP(S20,'Hg Values'!$A$1:$M$30,3)),0))*E20</f>
        <v>0</v>
      </c>
      <c r="AB20" s="5">
        <f>(IF(AND((O20="Hg"),(K20="Child (0-7 years)")),(VLOOKUP(S20,'Hg Values'!$A$1:$M$30,13)),0))*E20</f>
        <v>0</v>
      </c>
      <c r="AC20" s="5">
        <f>((IF(AND((O20="CA"),(K20="Adult (&gt; 15 years)")),(VLOOKUP(L20,CA_ingestion!A$1:J$78,7,0)),0))*((F20/1000000)*R20*70))/14</f>
        <v>0</v>
      </c>
      <c r="AD20" s="5">
        <f t="shared" si="11"/>
        <v>0</v>
      </c>
      <c r="AE20" s="5">
        <f>((IF(AND((O20="CA"),(K20="Adult (&gt; 15 years)")),(AD20*(VLOOKUP(L20,CA_ingestion!A$1:J$78,10,0))),0)))</f>
        <v>0</v>
      </c>
      <c r="AF20" s="5">
        <f t="shared" si="12"/>
        <v>0</v>
      </c>
      <c r="AG20" s="5">
        <f t="shared" si="13"/>
        <v>0</v>
      </c>
    </row>
    <row r="21" spans="1:33">
      <c r="A21" s="30"/>
      <c r="B21" s="30"/>
      <c r="C21" s="30"/>
      <c r="D21" s="29" t="s">
        <v>369</v>
      </c>
      <c r="E21" s="35">
        <f>VLOOKUP(D21,'List Data'!$A$100:$B$104,2,0)</f>
        <v>0</v>
      </c>
      <c r="F21" s="30"/>
      <c r="G21" s="30"/>
      <c r="H21" s="30"/>
      <c r="I21" s="26" t="str">
        <f>Summary!C$23</f>
        <v>Afghanistan</v>
      </c>
      <c r="J21" s="30"/>
      <c r="K21" s="30" t="s">
        <v>213</v>
      </c>
      <c r="L21" s="30" t="s">
        <v>213</v>
      </c>
      <c r="M21" s="37">
        <f>T21*Summary!$H$27</f>
        <v>0</v>
      </c>
      <c r="N21" s="37">
        <f>U21*Summary!$H$25</f>
        <v>0</v>
      </c>
      <c r="O21" s="5">
        <f>VLOOKUP(L21,'List Data'!A$2:C$94,3,0)</f>
        <v>0</v>
      </c>
      <c r="P21" s="5" t="str">
        <f>VLOOKUP(L21,'List Data'!A$2:B$94,2,0)</f>
        <v>--------</v>
      </c>
      <c r="Q21" s="5">
        <f t="shared" si="6"/>
        <v>10.7</v>
      </c>
      <c r="R21" s="5">
        <f t="shared" si="7"/>
        <v>50</v>
      </c>
      <c r="S21" s="5">
        <f t="shared" si="8"/>
        <v>0</v>
      </c>
      <c r="T21" s="5">
        <f t="shared" si="9"/>
        <v>0</v>
      </c>
      <c r="U21" s="5">
        <f t="shared" si="10"/>
        <v>0</v>
      </c>
      <c r="V21" s="5">
        <f>(IF(AND((O21="OP"),(K21="Child (0-7 years)")),VLOOKUP(($R21*(F21/1000000)),'OP Values'!$A$1:$Q$35,7),))*E21</f>
        <v>0</v>
      </c>
      <c r="W21" s="5">
        <f>(IF(O21="OP",VLOOKUP(($R21*(F21/1000000)),'OP Values'!$A$1:$Q$35,17),))*E21</f>
        <v>0</v>
      </c>
      <c r="X21" s="5">
        <f>(IF(AND((O21="Pb"),(K21="Child (0-7 years)")),(VLOOKUP(F21,Pb!$A$1:$AV$103,13)),0))*E21</f>
        <v>0</v>
      </c>
      <c r="Y21" s="5">
        <f>(IF(AND((O21="Pb"),(K21="Child (0-7 years)")),(VLOOKUP(F21,Pb!$A$2:$AV$103,22)),0))*E21</f>
        <v>0</v>
      </c>
      <c r="Z21" s="5">
        <f>(IF(AND((O21="Pb"),(K21="Adult (&gt; 15 years)")),(VLOOKUP(F21,Pb!$A$2:$AV$103,48)),0))*E21</f>
        <v>0</v>
      </c>
      <c r="AA21" s="5">
        <f>(IF(AND((O21="Hg"),(K21="Child (0-7 years)")),(VLOOKUP(S21,'Hg Values'!$A$1:$M$30,3)),0))*E21</f>
        <v>0</v>
      </c>
      <c r="AB21" s="5">
        <f>(IF(AND((O21="Hg"),(K21="Child (0-7 years)")),(VLOOKUP(S21,'Hg Values'!$A$1:$M$30,13)),0))*E21</f>
        <v>0</v>
      </c>
      <c r="AC21" s="5">
        <f>((IF(AND((O21="CA"),(K21="Adult (&gt; 15 years)")),(VLOOKUP(L21,CA_ingestion!A$1:J$78,7,0)),0))*((F21/1000000)*R21*70))/14</f>
        <v>0</v>
      </c>
      <c r="AD21" s="5">
        <f t="shared" si="11"/>
        <v>0</v>
      </c>
      <c r="AE21" s="5">
        <f>((IF(AND((O21="CA"),(K21="Adult (&gt; 15 years)")),(AD21*(VLOOKUP(L21,CA_ingestion!A$1:J$78,10,0))),0)))</f>
        <v>0</v>
      </c>
      <c r="AF21" s="5">
        <f t="shared" si="12"/>
        <v>0</v>
      </c>
      <c r="AG21" s="5">
        <f t="shared" si="13"/>
        <v>0</v>
      </c>
    </row>
    <row r="22" spans="1:33">
      <c r="A22" s="30"/>
      <c r="B22" s="30"/>
      <c r="C22" s="30"/>
      <c r="D22" s="29" t="s">
        <v>369</v>
      </c>
      <c r="E22" s="35">
        <f>VLOOKUP(D22,'List Data'!$A$100:$B$104,2,0)</f>
        <v>0</v>
      </c>
      <c r="F22" s="30"/>
      <c r="G22" s="30"/>
      <c r="H22" s="30"/>
      <c r="I22" s="26" t="str">
        <f>Summary!C$23</f>
        <v>Afghanistan</v>
      </c>
      <c r="J22" s="30"/>
      <c r="K22" s="30" t="s">
        <v>213</v>
      </c>
      <c r="L22" s="30" t="s">
        <v>213</v>
      </c>
      <c r="M22" s="37">
        <f>T22*Summary!$H$27</f>
        <v>0</v>
      </c>
      <c r="N22" s="37">
        <f>U22*Summary!$H$25</f>
        <v>0</v>
      </c>
      <c r="O22" s="5">
        <f>VLOOKUP(L22,'List Data'!A$2:C$94,3,0)</f>
        <v>0</v>
      </c>
      <c r="P22" s="5" t="str">
        <f>VLOOKUP(L22,'List Data'!A$2:B$94,2,0)</f>
        <v>--------</v>
      </c>
      <c r="Q22" s="5">
        <f t="shared" si="6"/>
        <v>10.7</v>
      </c>
      <c r="R22" s="5">
        <f t="shared" si="7"/>
        <v>50</v>
      </c>
      <c r="S22" s="5">
        <f t="shared" si="8"/>
        <v>0</v>
      </c>
      <c r="T22" s="5">
        <f t="shared" si="9"/>
        <v>0</v>
      </c>
      <c r="U22" s="5">
        <f t="shared" si="10"/>
        <v>0</v>
      </c>
      <c r="V22" s="5">
        <f>(IF(AND((O22="OP"),(K22="Child (0-7 years)")),VLOOKUP(($R22*(F22/1000000)),'OP Values'!$A$1:$Q$35,7),))*E22</f>
        <v>0</v>
      </c>
      <c r="W22" s="5">
        <f>(IF(O22="OP",VLOOKUP(($R22*(F22/1000000)),'OP Values'!$A$1:$Q$35,17),))*E22</f>
        <v>0</v>
      </c>
      <c r="X22" s="5">
        <f>(IF(AND((O22="Pb"),(K22="Child (0-7 years)")),(VLOOKUP(F22,Pb!$A$1:$AV$103,13)),0))*E22</f>
        <v>0</v>
      </c>
      <c r="Y22" s="5">
        <f>(IF(AND((O22="Pb"),(K22="Child (0-7 years)")),(VLOOKUP(F22,Pb!$A$2:$AV$103,22)),0))*E22</f>
        <v>0</v>
      </c>
      <c r="Z22" s="5">
        <f>(IF(AND((O22="Pb"),(K22="Adult (&gt; 15 years)")),(VLOOKUP(F22,Pb!$A$2:$AV$103,48)),0))*E22</f>
        <v>0</v>
      </c>
      <c r="AA22" s="5">
        <f>(IF(AND((O22="Hg"),(K22="Child (0-7 years)")),(VLOOKUP(S22,'Hg Values'!$A$1:$M$30,3)),0))*E22</f>
        <v>0</v>
      </c>
      <c r="AB22" s="5">
        <f>(IF(AND((O22="Hg"),(K22="Child (0-7 years)")),(VLOOKUP(S22,'Hg Values'!$A$1:$M$30,13)),0))*E22</f>
        <v>0</v>
      </c>
      <c r="AC22" s="5">
        <f>((IF(AND((O22="CA"),(K22="Adult (&gt; 15 years)")),(VLOOKUP(L22,CA_ingestion!A$1:J$78,7,0)),0))*((F22/1000000)*R22*70))/14</f>
        <v>0</v>
      </c>
      <c r="AD22" s="5">
        <f t="shared" si="11"/>
        <v>0</v>
      </c>
      <c r="AE22" s="5">
        <f>((IF(AND((O22="CA"),(K22="Adult (&gt; 15 years)")),(AD22*(VLOOKUP(L22,CA_ingestion!A$1:J$78,10,0))),0)))</f>
        <v>0</v>
      </c>
      <c r="AF22" s="5">
        <f t="shared" si="12"/>
        <v>0</v>
      </c>
      <c r="AG22" s="5">
        <f t="shared" si="13"/>
        <v>0</v>
      </c>
    </row>
    <row r="23" spans="1:33">
      <c r="A23" s="30"/>
      <c r="B23" s="30"/>
      <c r="C23" s="30"/>
      <c r="D23" s="29" t="s">
        <v>369</v>
      </c>
      <c r="E23" s="35">
        <f>VLOOKUP(D23,'List Data'!$A$100:$B$104,2,0)</f>
        <v>0</v>
      </c>
      <c r="F23" s="30"/>
      <c r="G23" s="30"/>
      <c r="H23" s="30"/>
      <c r="I23" s="26" t="str">
        <f>Summary!C$23</f>
        <v>Afghanistan</v>
      </c>
      <c r="J23" s="30"/>
      <c r="K23" s="30" t="s">
        <v>213</v>
      </c>
      <c r="L23" s="30" t="s">
        <v>213</v>
      </c>
      <c r="M23" s="37">
        <f>T23*Summary!$H$27</f>
        <v>0</v>
      </c>
      <c r="N23" s="37">
        <f>U23*Summary!$H$25</f>
        <v>0</v>
      </c>
      <c r="O23" s="5">
        <f>VLOOKUP(L23,'List Data'!A$2:C$94,3,0)</f>
        <v>0</v>
      </c>
      <c r="P23" s="5" t="str">
        <f>VLOOKUP(L23,'List Data'!A$2:B$94,2,0)</f>
        <v>--------</v>
      </c>
      <c r="Q23" s="5">
        <f t="shared" si="6"/>
        <v>10.7</v>
      </c>
      <c r="R23" s="5">
        <f t="shared" si="7"/>
        <v>50</v>
      </c>
      <c r="S23" s="5">
        <f t="shared" si="8"/>
        <v>0</v>
      </c>
      <c r="T23" s="5">
        <f t="shared" si="9"/>
        <v>0</v>
      </c>
      <c r="U23" s="5">
        <f t="shared" si="10"/>
        <v>0</v>
      </c>
      <c r="V23" s="5">
        <f>(IF(AND((O23="OP"),(K23="Child (0-7 years)")),VLOOKUP(($R23*(F23/1000000)),'OP Values'!$A$1:$Q$35,7),))*E23</f>
        <v>0</v>
      </c>
      <c r="W23" s="5">
        <f>(IF(O23="OP",VLOOKUP(($R23*(F23/1000000)),'OP Values'!$A$1:$Q$35,17),))*E23</f>
        <v>0</v>
      </c>
      <c r="X23" s="5">
        <f>(IF(AND((O23="Pb"),(K23="Child (0-7 years)")),(VLOOKUP(F23,Pb!$A$1:$AV$103,13)),0))*E23</f>
        <v>0</v>
      </c>
      <c r="Y23" s="5">
        <f>(IF(AND((O23="Pb"),(K23="Child (0-7 years)")),(VLOOKUP(F23,Pb!$A$2:$AV$103,22)),0))*E23</f>
        <v>0</v>
      </c>
      <c r="Z23" s="5">
        <f>(IF(AND((O23="Pb"),(K23="Adult (&gt; 15 years)")),(VLOOKUP(F23,Pb!$A$2:$AV$103,48)),0))*E23</f>
        <v>0</v>
      </c>
      <c r="AA23" s="5">
        <f>(IF(AND((O23="Hg"),(K23="Child (0-7 years)")),(VLOOKUP(S23,'Hg Values'!$A$1:$M$30,3)),0))*E23</f>
        <v>0</v>
      </c>
      <c r="AB23" s="5">
        <f>(IF(AND((O23="Hg"),(K23="Child (0-7 years)")),(VLOOKUP(S23,'Hg Values'!$A$1:$M$30,13)),0))*E23</f>
        <v>0</v>
      </c>
      <c r="AC23" s="5">
        <f>((IF(AND((O23="CA"),(K23="Adult (&gt; 15 years)")),(VLOOKUP(L23,CA_ingestion!A$1:J$78,7,0)),0))*((F23/1000000)*R23*70))/14</f>
        <v>0</v>
      </c>
      <c r="AD23" s="5">
        <f t="shared" si="11"/>
        <v>0</v>
      </c>
      <c r="AE23" s="5">
        <f>((IF(AND((O23="CA"),(K23="Adult (&gt; 15 years)")),(AD23*(VLOOKUP(L23,CA_ingestion!A$1:J$78,10,0))),0)))</f>
        <v>0</v>
      </c>
      <c r="AF23" s="5">
        <f t="shared" si="12"/>
        <v>0</v>
      </c>
      <c r="AG23" s="5">
        <f t="shared" si="13"/>
        <v>0</v>
      </c>
    </row>
    <row r="24" spans="1:33">
      <c r="A24" s="30"/>
      <c r="B24" s="30"/>
      <c r="C24" s="30"/>
      <c r="D24" s="29" t="s">
        <v>369</v>
      </c>
      <c r="E24" s="35">
        <f>VLOOKUP(D24,'List Data'!$A$100:$B$104,2,0)</f>
        <v>0</v>
      </c>
      <c r="F24" s="30"/>
      <c r="G24" s="30"/>
      <c r="H24" s="30"/>
      <c r="I24" s="26" t="str">
        <f>Summary!C$23</f>
        <v>Afghanistan</v>
      </c>
      <c r="J24" s="30"/>
      <c r="K24" s="30" t="s">
        <v>213</v>
      </c>
      <c r="L24" s="30" t="s">
        <v>213</v>
      </c>
      <c r="M24" s="37">
        <f>T24*Summary!$H$27</f>
        <v>0</v>
      </c>
      <c r="N24" s="37">
        <f>U24*Summary!$H$25</f>
        <v>0</v>
      </c>
      <c r="O24" s="5">
        <f>VLOOKUP(L24,'List Data'!A$2:C$94,3,0)</f>
        <v>0</v>
      </c>
      <c r="P24" s="5" t="str">
        <f>VLOOKUP(L24,'List Data'!A$2:B$94,2,0)</f>
        <v>--------</v>
      </c>
      <c r="Q24" s="5">
        <f t="shared" si="6"/>
        <v>10.7</v>
      </c>
      <c r="R24" s="5">
        <f t="shared" si="7"/>
        <v>50</v>
      </c>
      <c r="S24" s="5">
        <f t="shared" si="8"/>
        <v>0</v>
      </c>
      <c r="T24" s="5">
        <f t="shared" si="9"/>
        <v>0</v>
      </c>
      <c r="U24" s="5">
        <f t="shared" si="10"/>
        <v>0</v>
      </c>
      <c r="V24" s="5">
        <f>(IF(AND((O24="OP"),(K24="Child (0-7 years)")),VLOOKUP(($R24*(F24/1000000)),'OP Values'!$A$1:$Q$35,7),))*E24</f>
        <v>0</v>
      </c>
      <c r="W24" s="5">
        <f>(IF(O24="OP",VLOOKUP(($R24*(F24/1000000)),'OP Values'!$A$1:$Q$35,17),))*E24</f>
        <v>0</v>
      </c>
      <c r="X24" s="5">
        <f>(IF(AND((O24="Pb"),(K24="Child (0-7 years)")),(VLOOKUP(F24,Pb!$A$1:$AV$103,13)),0))*E24</f>
        <v>0</v>
      </c>
      <c r="Y24" s="5">
        <f>(IF(AND((O24="Pb"),(K24="Child (0-7 years)")),(VLOOKUP(F24,Pb!$A$2:$AV$103,22)),0))*E24</f>
        <v>0</v>
      </c>
      <c r="Z24" s="5">
        <f>(IF(AND((O24="Pb"),(K24="Adult (&gt; 15 years)")),(VLOOKUP(F24,Pb!$A$2:$AV$103,48)),0))*E24</f>
        <v>0</v>
      </c>
      <c r="AA24" s="5">
        <f>(IF(AND((O24="Hg"),(K24="Child (0-7 years)")),(VLOOKUP(S24,'Hg Values'!$A$1:$M$30,3)),0))*E24</f>
        <v>0</v>
      </c>
      <c r="AB24" s="5">
        <f>(IF(AND((O24="Hg"),(K24="Child (0-7 years)")),(VLOOKUP(S24,'Hg Values'!$A$1:$M$30,13)),0))*E24</f>
        <v>0</v>
      </c>
      <c r="AC24" s="5">
        <f>((IF(AND((O24="CA"),(K24="Adult (&gt; 15 years)")),(VLOOKUP(L24,CA_ingestion!A$1:J$78,7,0)),0))*((F24/1000000)*R24*70))/14</f>
        <v>0</v>
      </c>
      <c r="AD24" s="5">
        <f t="shared" si="11"/>
        <v>0</v>
      </c>
      <c r="AE24" s="5">
        <f>((IF(AND((O24="CA"),(K24="Adult (&gt; 15 years)")),(AD24*(VLOOKUP(L24,CA_ingestion!A$1:J$78,10,0))),0)))</f>
        <v>0</v>
      </c>
      <c r="AF24" s="5">
        <f t="shared" si="12"/>
        <v>0</v>
      </c>
      <c r="AG24" s="5">
        <f t="shared" si="13"/>
        <v>0</v>
      </c>
    </row>
    <row r="25" spans="1:33">
      <c r="A25" s="30"/>
      <c r="B25" s="30"/>
      <c r="C25" s="30"/>
      <c r="D25" s="29" t="s">
        <v>369</v>
      </c>
      <c r="E25" s="35">
        <f>VLOOKUP(D25,'List Data'!$A$100:$B$104,2,0)</f>
        <v>0</v>
      </c>
      <c r="F25" s="30"/>
      <c r="G25" s="30"/>
      <c r="H25" s="30"/>
      <c r="I25" s="26" t="str">
        <f>Summary!C$23</f>
        <v>Afghanistan</v>
      </c>
      <c r="J25" s="30"/>
      <c r="K25" s="30" t="s">
        <v>213</v>
      </c>
      <c r="L25" s="30" t="s">
        <v>213</v>
      </c>
      <c r="M25" s="37">
        <f>T25*Summary!$H$27</f>
        <v>0</v>
      </c>
      <c r="N25" s="37">
        <f>U25*Summary!$H$25</f>
        <v>0</v>
      </c>
      <c r="O25" s="5">
        <f>VLOOKUP(L25,'List Data'!A$2:C$94,3,0)</f>
        <v>0</v>
      </c>
      <c r="P25" s="5" t="str">
        <f>VLOOKUP(L25,'List Data'!A$2:B$94,2,0)</f>
        <v>--------</v>
      </c>
      <c r="Q25" s="5">
        <f t="shared" si="6"/>
        <v>10.7</v>
      </c>
      <c r="R25" s="5">
        <f t="shared" si="7"/>
        <v>50</v>
      </c>
      <c r="S25" s="5">
        <f t="shared" si="8"/>
        <v>0</v>
      </c>
      <c r="T25" s="5">
        <f t="shared" si="9"/>
        <v>0</v>
      </c>
      <c r="U25" s="5">
        <f t="shared" si="10"/>
        <v>0</v>
      </c>
      <c r="V25" s="5">
        <f>(IF(AND((O25="OP"),(K25="Child (0-7 years)")),VLOOKUP(($R25*(F25/1000000)),'OP Values'!$A$1:$Q$35,7),))*E25</f>
        <v>0</v>
      </c>
      <c r="W25" s="5">
        <f>(IF(O25="OP",VLOOKUP(($R25*(F25/1000000)),'OP Values'!$A$1:$Q$35,17),))*E25</f>
        <v>0</v>
      </c>
      <c r="X25" s="5">
        <f>(IF(AND((O25="Pb"),(K25="Child (0-7 years)")),(VLOOKUP(F25,Pb!$A$1:$AV$103,13)),0))*E25</f>
        <v>0</v>
      </c>
      <c r="Y25" s="5">
        <f>(IF(AND((O25="Pb"),(K25="Child (0-7 years)")),(VLOOKUP(F25,Pb!$A$2:$AV$103,22)),0))*E25</f>
        <v>0</v>
      </c>
      <c r="Z25" s="5">
        <f>(IF(AND((O25="Pb"),(K25="Adult (&gt; 15 years)")),(VLOOKUP(F25,Pb!$A$2:$AV$103,48)),0))*E25</f>
        <v>0</v>
      </c>
      <c r="AA25" s="5">
        <f>(IF(AND((O25="Hg"),(K25="Child (0-7 years)")),(VLOOKUP(S25,'Hg Values'!$A$1:$M$30,3)),0))*E25</f>
        <v>0</v>
      </c>
      <c r="AB25" s="5">
        <f>(IF(AND((O25="Hg"),(K25="Child (0-7 years)")),(VLOOKUP(S25,'Hg Values'!$A$1:$M$30,13)),0))*E25</f>
        <v>0</v>
      </c>
      <c r="AC25" s="5">
        <f>((IF(AND((O25="CA"),(K25="Adult (&gt; 15 years)")),(VLOOKUP(L25,CA_ingestion!A$1:J$78,7,0)),0))*((F25/1000000)*R25*70))/14</f>
        <v>0</v>
      </c>
      <c r="AD25" s="5">
        <f t="shared" si="11"/>
        <v>0</v>
      </c>
      <c r="AE25" s="5">
        <f>((IF(AND((O25="CA"),(K25="Adult (&gt; 15 years)")),(AD25*(VLOOKUP(L25,CA_ingestion!A$1:J$78,10,0))),0)))</f>
        <v>0</v>
      </c>
      <c r="AF25" s="5">
        <f t="shared" si="12"/>
        <v>0</v>
      </c>
      <c r="AG25" s="5">
        <f t="shared" si="13"/>
        <v>0</v>
      </c>
    </row>
    <row r="26" spans="1:33">
      <c r="A26" s="30"/>
      <c r="B26" s="30"/>
      <c r="C26" s="30"/>
      <c r="D26" s="29" t="s">
        <v>369</v>
      </c>
      <c r="E26" s="35">
        <f>VLOOKUP(D26,'List Data'!$A$100:$B$104,2,0)</f>
        <v>0</v>
      </c>
      <c r="F26" s="30"/>
      <c r="G26" s="30"/>
      <c r="H26" s="30"/>
      <c r="I26" s="26" t="str">
        <f>Summary!C$23</f>
        <v>Afghanistan</v>
      </c>
      <c r="J26" s="30"/>
      <c r="K26" s="30" t="s">
        <v>213</v>
      </c>
      <c r="L26" s="30" t="s">
        <v>213</v>
      </c>
      <c r="M26" s="37">
        <f>T26*Summary!$H$27</f>
        <v>0</v>
      </c>
      <c r="N26" s="37">
        <f>U26*Summary!$H$25</f>
        <v>0</v>
      </c>
      <c r="O26" s="5">
        <f>VLOOKUP(L26,'List Data'!A$2:C$94,3,0)</f>
        <v>0</v>
      </c>
      <c r="P26" s="5" t="str">
        <f>VLOOKUP(L26,'List Data'!A$2:B$94,2,0)</f>
        <v>--------</v>
      </c>
      <c r="Q26" s="5">
        <f t="shared" si="6"/>
        <v>10.7</v>
      </c>
      <c r="R26" s="5">
        <f t="shared" si="7"/>
        <v>50</v>
      </c>
      <c r="S26" s="5">
        <f t="shared" si="8"/>
        <v>0</v>
      </c>
      <c r="T26" s="5">
        <f t="shared" si="9"/>
        <v>0</v>
      </c>
      <c r="U26" s="5">
        <f t="shared" si="10"/>
        <v>0</v>
      </c>
      <c r="V26" s="5">
        <f>(IF(AND((O26="OP"),(K26="Child (0-7 years)")),VLOOKUP(($R26*(F26/1000000)),'OP Values'!$A$1:$Q$35,7),))*E26</f>
        <v>0</v>
      </c>
      <c r="W26" s="5">
        <f>(IF(O26="OP",VLOOKUP(($R26*(F26/1000000)),'OP Values'!$A$1:$Q$35,17),))*E26</f>
        <v>0</v>
      </c>
      <c r="X26" s="5">
        <f>(IF(AND((O26="Pb"),(K26="Child (0-7 years)")),(VLOOKUP(F26,Pb!$A$1:$AV$103,13)),0))*E26</f>
        <v>0</v>
      </c>
      <c r="Y26" s="5">
        <f>(IF(AND((O26="Pb"),(K26="Child (0-7 years)")),(VLOOKUP(F26,Pb!$A$2:$AV$103,22)),0))*E26</f>
        <v>0</v>
      </c>
      <c r="Z26" s="5">
        <f>(IF(AND((O26="Pb"),(K26="Adult (&gt; 15 years)")),(VLOOKUP(F26,Pb!$A$2:$AV$103,48)),0))*E26</f>
        <v>0</v>
      </c>
      <c r="AA26" s="5">
        <f>(IF(AND((O26="Hg"),(K26="Child (0-7 years)")),(VLOOKUP(S26,'Hg Values'!$A$1:$M$30,3)),0))*E26</f>
        <v>0</v>
      </c>
      <c r="AB26" s="5">
        <f>(IF(AND((O26="Hg"),(K26="Child (0-7 years)")),(VLOOKUP(S26,'Hg Values'!$A$1:$M$30,13)),0))*E26</f>
        <v>0</v>
      </c>
      <c r="AC26" s="5">
        <f>((IF(AND((O26="CA"),(K26="Adult (&gt; 15 years)")),(VLOOKUP(L26,CA_ingestion!A$1:J$78,7,0)),0))*((F26/1000000)*R26*70))/14</f>
        <v>0</v>
      </c>
      <c r="AD26" s="5">
        <f t="shared" si="11"/>
        <v>0</v>
      </c>
      <c r="AE26" s="5">
        <f>((IF(AND((O26="CA"),(K26="Adult (&gt; 15 years)")),(AD26*(VLOOKUP(L26,CA_ingestion!A$1:J$78,10,0))),0)))</f>
        <v>0</v>
      </c>
      <c r="AF26" s="5">
        <f t="shared" si="12"/>
        <v>0</v>
      </c>
      <c r="AG26" s="5">
        <f t="shared" si="13"/>
        <v>0</v>
      </c>
    </row>
    <row r="27" spans="1:33">
      <c r="A27" s="30"/>
      <c r="B27" s="30"/>
      <c r="C27" s="30"/>
      <c r="D27" s="29" t="s">
        <v>369</v>
      </c>
      <c r="E27" s="35">
        <f>VLOOKUP(D27,'List Data'!$A$100:$B$104,2,0)</f>
        <v>0</v>
      </c>
      <c r="F27" s="30"/>
      <c r="G27" s="30"/>
      <c r="H27" s="30"/>
      <c r="I27" s="26" t="str">
        <f>Summary!C$23</f>
        <v>Afghanistan</v>
      </c>
      <c r="J27" s="30"/>
      <c r="K27" s="30" t="s">
        <v>213</v>
      </c>
      <c r="L27" s="30" t="s">
        <v>213</v>
      </c>
      <c r="M27" s="37">
        <f>T27*Summary!$H$27</f>
        <v>0</v>
      </c>
      <c r="N27" s="37">
        <f>U27*Summary!$H$25</f>
        <v>0</v>
      </c>
      <c r="O27" s="5">
        <f>VLOOKUP(L27,'List Data'!A$2:C$94,3,0)</f>
        <v>0</v>
      </c>
      <c r="P27" s="5" t="str">
        <f>VLOOKUP(L27,'List Data'!A$2:B$94,2,0)</f>
        <v>--------</v>
      </c>
      <c r="Q27" s="5">
        <f t="shared" si="6"/>
        <v>10.7</v>
      </c>
      <c r="R27" s="5">
        <f t="shared" si="7"/>
        <v>50</v>
      </c>
      <c r="S27" s="5">
        <f t="shared" si="8"/>
        <v>0</v>
      </c>
      <c r="T27" s="5">
        <f t="shared" si="9"/>
        <v>0</v>
      </c>
      <c r="U27" s="5">
        <f t="shared" si="10"/>
        <v>0</v>
      </c>
      <c r="V27" s="5">
        <f>(IF(AND((O27="OP"),(K27="Child (0-7 years)")),VLOOKUP(($R27*(F27/1000000)),'OP Values'!$A$1:$Q$35,7),))*E27</f>
        <v>0</v>
      </c>
      <c r="W27" s="5">
        <f>(IF(O27="OP",VLOOKUP(($R27*(F27/1000000)),'OP Values'!$A$1:$Q$35,17),))*E27</f>
        <v>0</v>
      </c>
      <c r="X27" s="5">
        <f>(IF(AND((O27="Pb"),(K27="Child (0-7 years)")),(VLOOKUP(F27,Pb!$A$1:$AV$103,13)),0))*E27</f>
        <v>0</v>
      </c>
      <c r="Y27" s="5">
        <f>(IF(AND((O27="Pb"),(K27="Child (0-7 years)")),(VLOOKUP(F27,Pb!$A$2:$AV$103,22)),0))*E27</f>
        <v>0</v>
      </c>
      <c r="Z27" s="5">
        <f>(IF(AND((O27="Pb"),(K27="Adult (&gt; 15 years)")),(VLOOKUP(F27,Pb!$A$2:$AV$103,48)),0))*E27</f>
        <v>0</v>
      </c>
      <c r="AA27" s="5">
        <f>(IF(AND((O27="Hg"),(K27="Child (0-7 years)")),(VLOOKUP(S27,'Hg Values'!$A$1:$M$30,3)),0))*E27</f>
        <v>0</v>
      </c>
      <c r="AB27" s="5">
        <f>(IF(AND((O27="Hg"),(K27="Child (0-7 years)")),(VLOOKUP(S27,'Hg Values'!$A$1:$M$30,13)),0))*E27</f>
        <v>0</v>
      </c>
      <c r="AC27" s="5">
        <f>((IF(AND((O27="CA"),(K27="Adult (&gt; 15 years)")),(VLOOKUP(L27,CA_ingestion!A$1:J$78,7,0)),0))*((F27/1000000)*R27*70))/14</f>
        <v>0</v>
      </c>
      <c r="AD27" s="5">
        <f t="shared" si="11"/>
        <v>0</v>
      </c>
      <c r="AE27" s="5">
        <f>((IF(AND((O27="CA"),(K27="Adult (&gt; 15 years)")),(AD27*(VLOOKUP(L27,CA_ingestion!A$1:J$78,10,0))),0)))</f>
        <v>0</v>
      </c>
      <c r="AF27" s="5">
        <f t="shared" si="12"/>
        <v>0</v>
      </c>
      <c r="AG27" s="5">
        <f t="shared" si="13"/>
        <v>0</v>
      </c>
    </row>
    <row r="28" spans="1:33">
      <c r="A28" s="30"/>
      <c r="B28" s="30"/>
      <c r="C28" s="30"/>
      <c r="D28" s="29" t="s">
        <v>369</v>
      </c>
      <c r="E28" s="35">
        <f>VLOOKUP(D28,'List Data'!$A$100:$B$104,2,0)</f>
        <v>0</v>
      </c>
      <c r="F28" s="30"/>
      <c r="G28" s="30"/>
      <c r="H28" s="30"/>
      <c r="I28" s="26" t="str">
        <f>Summary!C$23</f>
        <v>Afghanistan</v>
      </c>
      <c r="J28" s="30"/>
      <c r="K28" s="30" t="s">
        <v>213</v>
      </c>
      <c r="L28" s="30" t="s">
        <v>213</v>
      </c>
      <c r="M28" s="37">
        <f>T28*Summary!$H$27</f>
        <v>0</v>
      </c>
      <c r="N28" s="37">
        <f>U28*Summary!$H$25</f>
        <v>0</v>
      </c>
      <c r="O28" s="5">
        <f>VLOOKUP(L28,'List Data'!A$2:C$94,3,0)</f>
        <v>0</v>
      </c>
      <c r="P28" s="5" t="str">
        <f>VLOOKUP(L28,'List Data'!A$2:B$94,2,0)</f>
        <v>--------</v>
      </c>
      <c r="Q28" s="5">
        <f t="shared" si="6"/>
        <v>10.7</v>
      </c>
      <c r="R28" s="5">
        <f t="shared" si="7"/>
        <v>50</v>
      </c>
      <c r="S28" s="5">
        <f t="shared" si="8"/>
        <v>0</v>
      </c>
      <c r="T28" s="5">
        <f t="shared" si="9"/>
        <v>0</v>
      </c>
      <c r="U28" s="5">
        <f t="shared" si="10"/>
        <v>0</v>
      </c>
      <c r="V28" s="5">
        <f>(IF(AND((O28="OP"),(K28="Child (0-7 years)")),VLOOKUP(($R28*(F28/1000000)),'OP Values'!$A$1:$Q$35,7),))*E28</f>
        <v>0</v>
      </c>
      <c r="W28" s="5">
        <f>(IF(O28="OP",VLOOKUP(($R28*(F28/1000000)),'OP Values'!$A$1:$Q$35,17),))*E28</f>
        <v>0</v>
      </c>
      <c r="X28" s="5">
        <f>(IF(AND((O28="Pb"),(K28="Child (0-7 years)")),(VLOOKUP(F28,Pb!$A$1:$AV$103,13)),0))*E28</f>
        <v>0</v>
      </c>
      <c r="Y28" s="5">
        <f>(IF(AND((O28="Pb"),(K28="Child (0-7 years)")),(VLOOKUP(F28,Pb!$A$2:$AV$103,22)),0))*E28</f>
        <v>0</v>
      </c>
      <c r="Z28" s="5">
        <f>(IF(AND((O28="Pb"),(K28="Adult (&gt; 15 years)")),(VLOOKUP(F28,Pb!$A$2:$AV$103,48)),0))*E28</f>
        <v>0</v>
      </c>
      <c r="AA28" s="5">
        <f>(IF(AND((O28="Hg"),(K28="Child (0-7 years)")),(VLOOKUP(S28,'Hg Values'!$A$1:$M$30,3)),0))*E28</f>
        <v>0</v>
      </c>
      <c r="AB28" s="5">
        <f>(IF(AND((O28="Hg"),(K28="Child (0-7 years)")),(VLOOKUP(S28,'Hg Values'!$A$1:$M$30,13)),0))*E28</f>
        <v>0</v>
      </c>
      <c r="AC28" s="5">
        <f>((IF(AND((O28="CA"),(K28="Adult (&gt; 15 years)")),(VLOOKUP(L28,CA_ingestion!A$1:J$78,7,0)),0))*((F28/1000000)*R28*70))/14</f>
        <v>0</v>
      </c>
      <c r="AD28" s="5">
        <f t="shared" si="11"/>
        <v>0</v>
      </c>
      <c r="AE28" s="5">
        <f>((IF(AND((O28="CA"),(K28="Adult (&gt; 15 years)")),(AD28*(VLOOKUP(L28,CA_ingestion!A$1:J$78,10,0))),0)))</f>
        <v>0</v>
      </c>
      <c r="AF28" s="5">
        <f t="shared" si="12"/>
        <v>0</v>
      </c>
      <c r="AG28" s="5">
        <f t="shared" si="13"/>
        <v>0</v>
      </c>
    </row>
    <row r="29" spans="1:33">
      <c r="A29" s="30"/>
      <c r="B29" s="30"/>
      <c r="C29" s="30"/>
      <c r="D29" s="29" t="s">
        <v>369</v>
      </c>
      <c r="E29" s="35">
        <f>VLOOKUP(D29,'List Data'!$A$100:$B$104,2,0)</f>
        <v>0</v>
      </c>
      <c r="F29" s="30"/>
      <c r="G29" s="30"/>
      <c r="H29" s="30"/>
      <c r="I29" s="26" t="str">
        <f>Summary!C$23</f>
        <v>Afghanistan</v>
      </c>
      <c r="J29" s="30"/>
      <c r="K29" s="30" t="s">
        <v>213</v>
      </c>
      <c r="L29" s="30" t="s">
        <v>213</v>
      </c>
      <c r="M29" s="37">
        <f>T29*Summary!$H$27</f>
        <v>0</v>
      </c>
      <c r="N29" s="37">
        <f>U29*Summary!$H$25</f>
        <v>0</v>
      </c>
      <c r="O29" s="5">
        <f>VLOOKUP(L29,'List Data'!A$2:C$94,3,0)</f>
        <v>0</v>
      </c>
      <c r="P29" s="5" t="str">
        <f>VLOOKUP(L29,'List Data'!A$2:B$94,2,0)</f>
        <v>--------</v>
      </c>
      <c r="Q29" s="5">
        <f t="shared" si="6"/>
        <v>10.7</v>
      </c>
      <c r="R29" s="5">
        <f t="shared" si="7"/>
        <v>50</v>
      </c>
      <c r="S29" s="5">
        <f t="shared" si="8"/>
        <v>0</v>
      </c>
      <c r="T29" s="5">
        <f t="shared" si="9"/>
        <v>0</v>
      </c>
      <c r="U29" s="5">
        <f t="shared" si="10"/>
        <v>0</v>
      </c>
      <c r="V29" s="5">
        <f>(IF(AND((O29="OP"),(K29="Child (0-7 years)")),VLOOKUP(($R29*(F29/1000000)),'OP Values'!$A$1:$Q$35,7),))*E29</f>
        <v>0</v>
      </c>
      <c r="W29" s="5">
        <f>(IF(O29="OP",VLOOKUP(($R29*(F29/1000000)),'OP Values'!$A$1:$Q$35,17),))*E29</f>
        <v>0</v>
      </c>
      <c r="X29" s="5">
        <f>(IF(AND((O29="Pb"),(K29="Child (0-7 years)")),(VLOOKUP(F29,Pb!$A$1:$AV$103,13)),0))*E29</f>
        <v>0</v>
      </c>
      <c r="Y29" s="5">
        <f>(IF(AND((O29="Pb"),(K29="Child (0-7 years)")),(VLOOKUP(F29,Pb!$A$2:$AV$103,22)),0))*E29</f>
        <v>0</v>
      </c>
      <c r="Z29" s="5">
        <f>(IF(AND((O29="Pb"),(K29="Adult (&gt; 15 years)")),(VLOOKUP(F29,Pb!$A$2:$AV$103,48)),0))*E29</f>
        <v>0</v>
      </c>
      <c r="AA29" s="5">
        <f>(IF(AND((O29="Hg"),(K29="Child (0-7 years)")),(VLOOKUP(S29,'Hg Values'!$A$1:$M$30,3)),0))*E29</f>
        <v>0</v>
      </c>
      <c r="AB29" s="5">
        <f>(IF(AND((O29="Hg"),(K29="Child (0-7 years)")),(VLOOKUP(S29,'Hg Values'!$A$1:$M$30,13)),0))*E29</f>
        <v>0</v>
      </c>
      <c r="AC29" s="5">
        <f>((IF(AND((O29="CA"),(K29="Adult (&gt; 15 years)")),(VLOOKUP(L29,CA_ingestion!A$1:J$78,7,0)),0))*((F29/1000000)*R29*70))/14</f>
        <v>0</v>
      </c>
      <c r="AD29" s="5">
        <f t="shared" si="11"/>
        <v>0</v>
      </c>
      <c r="AE29" s="5">
        <f>((IF(AND((O29="CA"),(K29="Adult (&gt; 15 years)")),(AD29*(VLOOKUP(L29,CA_ingestion!A$1:J$78,10,0))),0)))</f>
        <v>0</v>
      </c>
      <c r="AF29" s="5">
        <f t="shared" si="12"/>
        <v>0</v>
      </c>
      <c r="AG29" s="5">
        <f t="shared" si="13"/>
        <v>0</v>
      </c>
    </row>
    <row r="30" spans="1:33">
      <c r="A30" s="30"/>
      <c r="B30" s="30"/>
      <c r="C30" s="30"/>
      <c r="D30" s="29" t="s">
        <v>369</v>
      </c>
      <c r="E30" s="35">
        <f>VLOOKUP(D30,'List Data'!$A$100:$B$104,2,0)</f>
        <v>0</v>
      </c>
      <c r="F30" s="30"/>
      <c r="G30" s="30"/>
      <c r="H30" s="30"/>
      <c r="I30" s="26" t="str">
        <f>Summary!C$23</f>
        <v>Afghanistan</v>
      </c>
      <c r="J30" s="30"/>
      <c r="K30" s="30" t="s">
        <v>213</v>
      </c>
      <c r="L30" s="30" t="s">
        <v>213</v>
      </c>
      <c r="M30" s="37">
        <f>T30*Summary!$H$27</f>
        <v>0</v>
      </c>
      <c r="N30" s="37">
        <f>U30*Summary!$H$25</f>
        <v>0</v>
      </c>
      <c r="O30" s="5">
        <f>VLOOKUP(L30,'List Data'!A$2:C$94,3,0)</f>
        <v>0</v>
      </c>
      <c r="P30" s="5" t="str">
        <f>VLOOKUP(L30,'List Data'!A$2:B$94,2,0)</f>
        <v>--------</v>
      </c>
      <c r="Q30" s="5">
        <f t="shared" si="6"/>
        <v>10.7</v>
      </c>
      <c r="R30" s="5">
        <f t="shared" si="7"/>
        <v>50</v>
      </c>
      <c r="S30" s="5">
        <f t="shared" si="8"/>
        <v>0</v>
      </c>
      <c r="T30" s="5">
        <f t="shared" si="9"/>
        <v>0</v>
      </c>
      <c r="U30" s="5">
        <f t="shared" si="10"/>
        <v>0</v>
      </c>
      <c r="V30" s="5">
        <f>(IF(AND((O30="OP"),(K30="Child (0-7 years)")),VLOOKUP(($R30*(F30/1000000)),'OP Values'!$A$1:$Q$35,7),))*E30</f>
        <v>0</v>
      </c>
      <c r="W30" s="5">
        <f>(IF(O30="OP",VLOOKUP(($R30*(F30/1000000)),'OP Values'!$A$1:$Q$35,17),))*E30</f>
        <v>0</v>
      </c>
      <c r="X30" s="5">
        <f>(IF(AND((O30="Pb"),(K30="Child (0-7 years)")),(VLOOKUP(F30,Pb!$A$1:$AV$103,13)),0))*E30</f>
        <v>0</v>
      </c>
      <c r="Y30" s="5">
        <f>(IF(AND((O30="Pb"),(K30="Child (0-7 years)")),(VLOOKUP(F30,Pb!$A$2:$AV$103,22)),0))*E30</f>
        <v>0</v>
      </c>
      <c r="Z30" s="5">
        <f>(IF(AND((O30="Pb"),(K30="Adult (&gt; 15 years)")),(VLOOKUP(F30,Pb!$A$2:$AV$103,48)),0))*E30</f>
        <v>0</v>
      </c>
      <c r="AA30" s="5">
        <f>(IF(AND((O30="Hg"),(K30="Child (0-7 years)")),(VLOOKUP(S30,'Hg Values'!$A$1:$M$30,3)),0))*E30</f>
        <v>0</v>
      </c>
      <c r="AB30" s="5">
        <f>(IF(AND((O30="Hg"),(K30="Child (0-7 years)")),(VLOOKUP(S30,'Hg Values'!$A$1:$M$30,13)),0))*E30</f>
        <v>0</v>
      </c>
      <c r="AC30" s="5">
        <f>((IF(AND((O30="CA"),(K30="Adult (&gt; 15 years)")),(VLOOKUP(L30,CA_ingestion!A$1:J$78,7,0)),0))*((F30/1000000)*R30*70))/14</f>
        <v>0</v>
      </c>
      <c r="AD30" s="5">
        <f t="shared" si="11"/>
        <v>0</v>
      </c>
      <c r="AE30" s="5">
        <f>((IF(AND((O30="CA"),(K30="Adult (&gt; 15 years)")),(AD30*(VLOOKUP(L30,CA_ingestion!A$1:J$78,10,0))),0)))</f>
        <v>0</v>
      </c>
      <c r="AF30" s="5">
        <f t="shared" si="12"/>
        <v>0</v>
      </c>
      <c r="AG30" s="5">
        <f t="shared" si="13"/>
        <v>0</v>
      </c>
    </row>
    <row r="31" spans="1:33">
      <c r="A31" s="30"/>
      <c r="B31" s="30"/>
      <c r="C31" s="30"/>
      <c r="D31" s="29" t="s">
        <v>369</v>
      </c>
      <c r="E31" s="35">
        <f>VLOOKUP(D31,'List Data'!$A$100:$B$104,2,0)</f>
        <v>0</v>
      </c>
      <c r="F31" s="30"/>
      <c r="G31" s="30"/>
      <c r="H31" s="30"/>
      <c r="I31" s="26" t="str">
        <f>Summary!C$23</f>
        <v>Afghanistan</v>
      </c>
      <c r="J31" s="30"/>
      <c r="K31" s="30" t="s">
        <v>213</v>
      </c>
      <c r="L31" s="30" t="s">
        <v>213</v>
      </c>
      <c r="M31" s="37">
        <f>T31*Summary!$H$27</f>
        <v>0</v>
      </c>
      <c r="N31" s="37">
        <f>U31*Summary!$H$25</f>
        <v>0</v>
      </c>
      <c r="O31" s="5">
        <f>VLOOKUP(L31,'List Data'!A$2:C$94,3,0)</f>
        <v>0</v>
      </c>
      <c r="P31" s="5" t="str">
        <f>VLOOKUP(L31,'List Data'!A$2:B$94,2,0)</f>
        <v>--------</v>
      </c>
      <c r="Q31" s="5">
        <f t="shared" si="6"/>
        <v>10.7</v>
      </c>
      <c r="R31" s="5">
        <f t="shared" si="7"/>
        <v>50</v>
      </c>
      <c r="S31" s="5">
        <f t="shared" si="8"/>
        <v>0</v>
      </c>
      <c r="T31" s="5">
        <f t="shared" si="9"/>
        <v>0</v>
      </c>
      <c r="U31" s="5">
        <f t="shared" si="10"/>
        <v>0</v>
      </c>
      <c r="V31" s="5">
        <f>(IF(AND((O31="OP"),(K31="Child (0-7 years)")),VLOOKUP(($R31*(F31/1000000)),'OP Values'!$A$1:$Q$35,7),))*E31</f>
        <v>0</v>
      </c>
      <c r="W31" s="5">
        <f>(IF(O31="OP",VLOOKUP(($R31*(F31/1000000)),'OP Values'!$A$1:$Q$35,17),))*E31</f>
        <v>0</v>
      </c>
      <c r="X31" s="5">
        <f>(IF(AND((O31="Pb"),(K31="Child (0-7 years)")),(VLOOKUP(F31,Pb!$A$1:$AV$103,13)),0))*E31</f>
        <v>0</v>
      </c>
      <c r="Y31" s="5">
        <f>(IF(AND((O31="Pb"),(K31="Child (0-7 years)")),(VLOOKUP(F31,Pb!$A$2:$AV$103,22)),0))*E31</f>
        <v>0</v>
      </c>
      <c r="Z31" s="5">
        <f>(IF(AND((O31="Pb"),(K31="Adult (&gt; 15 years)")),(VLOOKUP(F31,Pb!$A$2:$AV$103,48)),0))*E31</f>
        <v>0</v>
      </c>
      <c r="AA31" s="5">
        <f>(IF(AND((O31="Hg"),(K31="Child (0-7 years)")),(VLOOKUP(S31,'Hg Values'!$A$1:$M$30,3)),0))*E31</f>
        <v>0</v>
      </c>
      <c r="AB31" s="5">
        <f>(IF(AND((O31="Hg"),(K31="Child (0-7 years)")),(VLOOKUP(S31,'Hg Values'!$A$1:$M$30,13)),0))*E31</f>
        <v>0</v>
      </c>
      <c r="AC31" s="5">
        <f>((IF(AND((O31="CA"),(K31="Adult (&gt; 15 years)")),(VLOOKUP(L31,CA_ingestion!A$1:J$78,7,0)),0))*((F31/1000000)*R31*70))/14</f>
        <v>0</v>
      </c>
      <c r="AD31" s="5">
        <f t="shared" si="11"/>
        <v>0</v>
      </c>
      <c r="AE31" s="5">
        <f>((IF(AND((O31="CA"),(K31="Adult (&gt; 15 years)")),(AD31*(VLOOKUP(L31,CA_ingestion!A$1:J$78,10,0))),0)))</f>
        <v>0</v>
      </c>
      <c r="AF31" s="5">
        <f t="shared" si="12"/>
        <v>0</v>
      </c>
      <c r="AG31" s="5">
        <f t="shared" si="13"/>
        <v>0</v>
      </c>
    </row>
    <row r="32" spans="1:33">
      <c r="A32" s="30"/>
      <c r="B32" s="30"/>
      <c r="C32" s="30"/>
      <c r="D32" s="29" t="s">
        <v>369</v>
      </c>
      <c r="E32" s="35">
        <f>VLOOKUP(D32,'List Data'!$A$100:$B$104,2,0)</f>
        <v>0</v>
      </c>
      <c r="F32" s="30"/>
      <c r="G32" s="30"/>
      <c r="H32" s="30"/>
      <c r="I32" s="26" t="str">
        <f>Summary!C$23</f>
        <v>Afghanistan</v>
      </c>
      <c r="J32" s="30"/>
      <c r="K32" s="30" t="s">
        <v>213</v>
      </c>
      <c r="L32" s="30" t="s">
        <v>213</v>
      </c>
      <c r="M32" s="37">
        <f>T32*Summary!$H$27</f>
        <v>0</v>
      </c>
      <c r="N32" s="37">
        <f>U32*Summary!$H$25</f>
        <v>0</v>
      </c>
      <c r="O32" s="5">
        <f>VLOOKUP(L32,'List Data'!A$2:C$94,3,0)</f>
        <v>0</v>
      </c>
      <c r="P32" s="5" t="str">
        <f>VLOOKUP(L32,'List Data'!A$2:B$94,2,0)</f>
        <v>--------</v>
      </c>
      <c r="Q32" s="5">
        <f t="shared" si="6"/>
        <v>10.7</v>
      </c>
      <c r="R32" s="5">
        <f t="shared" si="7"/>
        <v>50</v>
      </c>
      <c r="S32" s="5">
        <f t="shared" si="8"/>
        <v>0</v>
      </c>
      <c r="T32" s="5">
        <f t="shared" si="9"/>
        <v>0</v>
      </c>
      <c r="U32" s="5">
        <f t="shared" si="10"/>
        <v>0</v>
      </c>
      <c r="V32" s="5">
        <f>(IF(AND((O32="OP"),(K32="Child (0-7 years)")),VLOOKUP(($R32*(F32/1000000)),'OP Values'!$A$1:$Q$35,7),))*E32</f>
        <v>0</v>
      </c>
      <c r="W32" s="5">
        <f>(IF(O32="OP",VLOOKUP(($R32*(F32/1000000)),'OP Values'!$A$1:$Q$35,17),))*E32</f>
        <v>0</v>
      </c>
      <c r="X32" s="5">
        <f>(IF(AND((O32="Pb"),(K32="Child (0-7 years)")),(VLOOKUP(F32,Pb!$A$1:$AV$103,13)),0))*E32</f>
        <v>0</v>
      </c>
      <c r="Y32" s="5">
        <f>(IF(AND((O32="Pb"),(K32="Child (0-7 years)")),(VLOOKUP(F32,Pb!$A$2:$AV$103,22)),0))*E32</f>
        <v>0</v>
      </c>
      <c r="Z32" s="5">
        <f>(IF(AND((O32="Pb"),(K32="Adult (&gt; 15 years)")),(VLOOKUP(F32,Pb!$A$2:$AV$103,48)),0))*E32</f>
        <v>0</v>
      </c>
      <c r="AA32" s="5">
        <f>(IF(AND((O32="Hg"),(K32="Child (0-7 years)")),(VLOOKUP(S32,'Hg Values'!$A$1:$M$30,3)),0))*E32</f>
        <v>0</v>
      </c>
      <c r="AB32" s="5">
        <f>(IF(AND((O32="Hg"),(K32="Child (0-7 years)")),(VLOOKUP(S32,'Hg Values'!$A$1:$M$30,13)),0))*E32</f>
        <v>0</v>
      </c>
      <c r="AC32" s="5">
        <f>((IF(AND((O32="CA"),(K32="Adult (&gt; 15 years)")),(VLOOKUP(L32,CA_ingestion!A$1:J$78,7,0)),0))*((F32/1000000)*R32*70))/14</f>
        <v>0</v>
      </c>
      <c r="AD32" s="5">
        <f t="shared" si="11"/>
        <v>0</v>
      </c>
      <c r="AE32" s="5">
        <f>((IF(AND((O32="CA"),(K32="Adult (&gt; 15 years)")),(AD32*(VLOOKUP(L32,CA_ingestion!A$1:J$78,10,0))),0)))</f>
        <v>0</v>
      </c>
      <c r="AF32" s="5">
        <f t="shared" si="12"/>
        <v>0</v>
      </c>
      <c r="AG32" s="5">
        <f t="shared" si="13"/>
        <v>0</v>
      </c>
    </row>
    <row r="33" spans="1:33">
      <c r="A33" s="30"/>
      <c r="B33" s="30"/>
      <c r="C33" s="30"/>
      <c r="D33" s="29" t="s">
        <v>369</v>
      </c>
      <c r="E33" s="35">
        <f>VLOOKUP(D33,'List Data'!$A$100:$B$104,2,0)</f>
        <v>0</v>
      </c>
      <c r="F33" s="30"/>
      <c r="G33" s="30"/>
      <c r="H33" s="30"/>
      <c r="I33" s="26" t="str">
        <f>Summary!C$23</f>
        <v>Afghanistan</v>
      </c>
      <c r="J33" s="30"/>
      <c r="K33" s="30" t="s">
        <v>213</v>
      </c>
      <c r="L33" s="30" t="s">
        <v>213</v>
      </c>
      <c r="M33" s="37">
        <f>T33*Summary!$H$27</f>
        <v>0</v>
      </c>
      <c r="N33" s="37">
        <f>U33*Summary!$H$25</f>
        <v>0</v>
      </c>
      <c r="O33" s="5">
        <f>VLOOKUP(L33,'List Data'!A$2:C$94,3,0)</f>
        <v>0</v>
      </c>
      <c r="P33" s="5" t="str">
        <f>VLOOKUP(L33,'List Data'!A$2:B$94,2,0)</f>
        <v>--------</v>
      </c>
      <c r="Q33" s="5">
        <f t="shared" si="6"/>
        <v>10.7</v>
      </c>
      <c r="R33" s="5">
        <f t="shared" si="7"/>
        <v>50</v>
      </c>
      <c r="S33" s="5">
        <f t="shared" si="8"/>
        <v>0</v>
      </c>
      <c r="T33" s="5">
        <f t="shared" si="9"/>
        <v>0</v>
      </c>
      <c r="U33" s="5">
        <f t="shared" si="10"/>
        <v>0</v>
      </c>
      <c r="V33" s="5">
        <f>(IF(AND((O33="OP"),(K33="Child (0-7 years)")),VLOOKUP(($R33*(F33/1000000)),'OP Values'!$A$1:$Q$35,7),))*E33</f>
        <v>0</v>
      </c>
      <c r="W33" s="5">
        <f>(IF(O33="OP",VLOOKUP(($R33*(F33/1000000)),'OP Values'!$A$1:$Q$35,17),))*E33</f>
        <v>0</v>
      </c>
      <c r="X33" s="5">
        <f>(IF(AND((O33="Pb"),(K33="Child (0-7 years)")),(VLOOKUP(F33,Pb!$A$1:$AV$103,13)),0))*E33</f>
        <v>0</v>
      </c>
      <c r="Y33" s="5">
        <f>(IF(AND((O33="Pb"),(K33="Child (0-7 years)")),(VLOOKUP(F33,Pb!$A$2:$AV$103,22)),0))*E33</f>
        <v>0</v>
      </c>
      <c r="Z33" s="5">
        <f>(IF(AND((O33="Pb"),(K33="Adult (&gt; 15 years)")),(VLOOKUP(F33,Pb!$A$2:$AV$103,48)),0))*E33</f>
        <v>0</v>
      </c>
      <c r="AA33" s="5">
        <f>(IF(AND((O33="Hg"),(K33="Child (0-7 years)")),(VLOOKUP(S33,'Hg Values'!$A$1:$M$30,3)),0))*E33</f>
        <v>0</v>
      </c>
      <c r="AB33" s="5">
        <f>(IF(AND((O33="Hg"),(K33="Child (0-7 years)")),(VLOOKUP(S33,'Hg Values'!$A$1:$M$30,13)),0))*E33</f>
        <v>0</v>
      </c>
      <c r="AC33" s="5">
        <f>((IF(AND((O33="CA"),(K33="Adult (&gt; 15 years)")),(VLOOKUP(L33,CA_ingestion!A$1:J$78,7,0)),0))*((F33/1000000)*R33*70))/14</f>
        <v>0</v>
      </c>
      <c r="AD33" s="5">
        <f t="shared" si="11"/>
        <v>0</v>
      </c>
      <c r="AE33" s="5">
        <f>((IF(AND((O33="CA"),(K33="Adult (&gt; 15 years)")),(AD33*(VLOOKUP(L33,CA_ingestion!A$1:J$78,10,0))),0)))</f>
        <v>0</v>
      </c>
      <c r="AF33" s="5">
        <f t="shared" si="12"/>
        <v>0</v>
      </c>
      <c r="AG33" s="5">
        <f t="shared" si="13"/>
        <v>0</v>
      </c>
    </row>
    <row r="34" spans="1:33">
      <c r="A34" s="30"/>
      <c r="B34" s="30"/>
      <c r="C34" s="30"/>
      <c r="D34" s="29" t="s">
        <v>369</v>
      </c>
      <c r="E34" s="35">
        <f>VLOOKUP(D34,'List Data'!$A$100:$B$104,2,0)</f>
        <v>0</v>
      </c>
      <c r="F34" s="30"/>
      <c r="G34" s="30"/>
      <c r="H34" s="30"/>
      <c r="I34" s="26" t="str">
        <f>Summary!C$23</f>
        <v>Afghanistan</v>
      </c>
      <c r="J34" s="30"/>
      <c r="K34" s="30" t="s">
        <v>213</v>
      </c>
      <c r="L34" s="30" t="s">
        <v>213</v>
      </c>
      <c r="M34" s="37">
        <f>T34*Summary!$H$27</f>
        <v>0</v>
      </c>
      <c r="N34" s="37">
        <f>U34*Summary!$H$25</f>
        <v>0</v>
      </c>
      <c r="O34" s="5">
        <f>VLOOKUP(L34,'List Data'!A$2:C$94,3,0)</f>
        <v>0</v>
      </c>
      <c r="P34" s="5" t="str">
        <f>VLOOKUP(L34,'List Data'!A$2:B$94,2,0)</f>
        <v>--------</v>
      </c>
      <c r="Q34" s="5">
        <f t="shared" si="6"/>
        <v>10.7</v>
      </c>
      <c r="R34" s="5">
        <f t="shared" si="7"/>
        <v>50</v>
      </c>
      <c r="S34" s="5">
        <f t="shared" si="8"/>
        <v>0</v>
      </c>
      <c r="T34" s="5">
        <f t="shared" si="9"/>
        <v>0</v>
      </c>
      <c r="U34" s="5">
        <f t="shared" si="10"/>
        <v>0</v>
      </c>
      <c r="V34" s="5">
        <f>(IF(AND((O34="OP"),(K34="Child (0-7 years)")),VLOOKUP(($R34*(F34/1000000)),'OP Values'!$A$1:$Q$35,7),))*E34</f>
        <v>0</v>
      </c>
      <c r="W34" s="5">
        <f>(IF(O34="OP",VLOOKUP(($R34*(F34/1000000)),'OP Values'!$A$1:$Q$35,17),))*E34</f>
        <v>0</v>
      </c>
      <c r="X34" s="5">
        <f>(IF(AND((O34="Pb"),(K34="Child (0-7 years)")),(VLOOKUP(F34,Pb!$A$1:$AV$103,13)),0))*E34</f>
        <v>0</v>
      </c>
      <c r="Y34" s="5">
        <f>(IF(AND((O34="Pb"),(K34="Child (0-7 years)")),(VLOOKUP(F34,Pb!$A$2:$AV$103,22)),0))*E34</f>
        <v>0</v>
      </c>
      <c r="Z34" s="5">
        <f>(IF(AND((O34="Pb"),(K34="Adult (&gt; 15 years)")),(VLOOKUP(F34,Pb!$A$2:$AV$103,48)),0))*E34</f>
        <v>0</v>
      </c>
      <c r="AA34" s="5">
        <f>(IF(AND((O34="Hg"),(K34="Child (0-7 years)")),(VLOOKUP(S34,'Hg Values'!$A$1:$M$30,3)),0))*E34</f>
        <v>0</v>
      </c>
      <c r="AB34" s="5">
        <f>(IF(AND((O34="Hg"),(K34="Child (0-7 years)")),(VLOOKUP(S34,'Hg Values'!$A$1:$M$30,13)),0))*E34</f>
        <v>0</v>
      </c>
      <c r="AC34" s="5">
        <f>((IF(AND((O34="CA"),(K34="Adult (&gt; 15 years)")),(VLOOKUP(L34,CA_ingestion!A$1:J$78,7,0)),0))*((F34/1000000)*R34*70))/14</f>
        <v>0</v>
      </c>
      <c r="AD34" s="5">
        <f t="shared" si="11"/>
        <v>0</v>
      </c>
      <c r="AE34" s="5">
        <f>((IF(AND((O34="CA"),(K34="Adult (&gt; 15 years)")),(AD34*(VLOOKUP(L34,CA_ingestion!A$1:J$78,10,0))),0)))</f>
        <v>0</v>
      </c>
      <c r="AF34" s="5">
        <f t="shared" si="12"/>
        <v>0</v>
      </c>
      <c r="AG34" s="5">
        <f t="shared" si="13"/>
        <v>0</v>
      </c>
    </row>
    <row r="35" spans="1:33">
      <c r="A35" s="30"/>
      <c r="B35" s="30"/>
      <c r="C35" s="30"/>
      <c r="D35" s="29" t="s">
        <v>369</v>
      </c>
      <c r="E35" s="35">
        <f>VLOOKUP(D35,'List Data'!$A$100:$B$104,2,0)</f>
        <v>0</v>
      </c>
      <c r="F35" s="30"/>
      <c r="G35" s="30"/>
      <c r="H35" s="30"/>
      <c r="I35" s="26" t="str">
        <f>Summary!C$23</f>
        <v>Afghanistan</v>
      </c>
      <c r="J35" s="30"/>
      <c r="K35" s="30" t="s">
        <v>213</v>
      </c>
      <c r="L35" s="30" t="s">
        <v>213</v>
      </c>
      <c r="M35" s="37">
        <f>T35*Summary!$H$27</f>
        <v>0</v>
      </c>
      <c r="N35" s="37">
        <f>U35*Summary!$H$25</f>
        <v>0</v>
      </c>
      <c r="O35" s="5">
        <f>VLOOKUP(L35,'List Data'!A$2:C$94,3,0)</f>
        <v>0</v>
      </c>
      <c r="P35" s="5" t="str">
        <f>VLOOKUP(L35,'List Data'!A$2:B$94,2,0)</f>
        <v>--------</v>
      </c>
      <c r="Q35" s="5">
        <f t="shared" si="6"/>
        <v>10.7</v>
      </c>
      <c r="R35" s="5">
        <f t="shared" si="7"/>
        <v>50</v>
      </c>
      <c r="S35" s="5">
        <f t="shared" si="8"/>
        <v>0</v>
      </c>
      <c r="T35" s="5">
        <f t="shared" si="9"/>
        <v>0</v>
      </c>
      <c r="U35" s="5">
        <f t="shared" si="10"/>
        <v>0</v>
      </c>
      <c r="V35" s="5">
        <f>(IF(AND((O35="OP"),(K35="Child (0-7 years)")),VLOOKUP(($R35*(F35/1000000)),'OP Values'!$A$1:$Q$35,7),))*E35</f>
        <v>0</v>
      </c>
      <c r="W35" s="5">
        <f>(IF(O35="OP",VLOOKUP(($R35*(F35/1000000)),'OP Values'!$A$1:$Q$35,17),))*E35</f>
        <v>0</v>
      </c>
      <c r="X35" s="5">
        <f>(IF(AND((O35="Pb"),(K35="Child (0-7 years)")),(VLOOKUP(F35,Pb!$A$1:$AV$103,13)),0))*E35</f>
        <v>0</v>
      </c>
      <c r="Y35" s="5">
        <f>(IF(AND((O35="Pb"),(K35="Child (0-7 years)")),(VLOOKUP(F35,Pb!$A$2:$AV$103,22)),0))*E35</f>
        <v>0</v>
      </c>
      <c r="Z35" s="5">
        <f>(IF(AND((O35="Pb"),(K35="Adult (&gt; 15 years)")),(VLOOKUP(F35,Pb!$A$2:$AV$103,48)),0))*E35</f>
        <v>0</v>
      </c>
      <c r="AA35" s="5">
        <f>(IF(AND((O35="Hg"),(K35="Child (0-7 years)")),(VLOOKUP(S35,'Hg Values'!$A$1:$M$30,3)),0))*E35</f>
        <v>0</v>
      </c>
      <c r="AB35" s="5">
        <f>(IF(AND((O35="Hg"),(K35="Child (0-7 years)")),(VLOOKUP(S35,'Hg Values'!$A$1:$M$30,13)),0))*E35</f>
        <v>0</v>
      </c>
      <c r="AC35" s="5">
        <f>((IF(AND((O35="CA"),(K35="Adult (&gt; 15 years)")),(VLOOKUP(L35,CA_ingestion!A$1:J$78,7,0)),0))*((F35/1000000)*R35*70))/14</f>
        <v>0</v>
      </c>
      <c r="AD35" s="5">
        <f t="shared" si="11"/>
        <v>0</v>
      </c>
      <c r="AE35" s="5">
        <f>((IF(AND((O35="CA"),(K35="Adult (&gt; 15 years)")),(AD35*(VLOOKUP(L35,CA_ingestion!A$1:J$78,10,0))),0)))</f>
        <v>0</v>
      </c>
      <c r="AF35" s="5">
        <f t="shared" si="12"/>
        <v>0</v>
      </c>
      <c r="AG35" s="5">
        <f t="shared" si="13"/>
        <v>0</v>
      </c>
    </row>
    <row r="36" spans="1:33">
      <c r="A36" s="30"/>
      <c r="B36" s="30"/>
      <c r="C36" s="30"/>
      <c r="D36" s="29" t="s">
        <v>369</v>
      </c>
      <c r="E36" s="35">
        <f>VLOOKUP(D36,'List Data'!$A$100:$B$104,2,0)</f>
        <v>0</v>
      </c>
      <c r="F36" s="30"/>
      <c r="G36" s="30"/>
      <c r="H36" s="30"/>
      <c r="I36" s="26" t="str">
        <f>Summary!C$23</f>
        <v>Afghanistan</v>
      </c>
      <c r="J36" s="30"/>
      <c r="K36" s="30" t="s">
        <v>213</v>
      </c>
      <c r="L36" s="30" t="s">
        <v>213</v>
      </c>
      <c r="M36" s="37">
        <f>T36*Summary!$H$27</f>
        <v>0</v>
      </c>
      <c r="N36" s="37">
        <f>U36*Summary!$H$25</f>
        <v>0</v>
      </c>
      <c r="O36" s="5">
        <f>VLOOKUP(L36,'List Data'!A$2:C$94,3,0)</f>
        <v>0</v>
      </c>
      <c r="P36" s="5" t="str">
        <f>VLOOKUP(L36,'List Data'!A$2:B$94,2,0)</f>
        <v>--------</v>
      </c>
      <c r="Q36" s="5">
        <f t="shared" si="6"/>
        <v>10.7</v>
      </c>
      <c r="R36" s="5">
        <f t="shared" si="7"/>
        <v>50</v>
      </c>
      <c r="S36" s="5">
        <f t="shared" si="8"/>
        <v>0</v>
      </c>
      <c r="T36" s="5">
        <f t="shared" si="9"/>
        <v>0</v>
      </c>
      <c r="U36" s="5">
        <f t="shared" si="10"/>
        <v>0</v>
      </c>
      <c r="V36" s="5">
        <f>(IF(AND((O36="OP"),(K36="Child (0-7 years)")),VLOOKUP(($R36*(F36/1000000)),'OP Values'!$A$1:$Q$35,7),))*E36</f>
        <v>0</v>
      </c>
      <c r="W36" s="5">
        <f>(IF(O36="OP",VLOOKUP(($R36*(F36/1000000)),'OP Values'!$A$1:$Q$35,17),))*E36</f>
        <v>0</v>
      </c>
      <c r="X36" s="5">
        <f>(IF(AND((O36="Pb"),(K36="Child (0-7 years)")),(VLOOKUP(F36,Pb!$A$1:$AV$103,13)),0))*E36</f>
        <v>0</v>
      </c>
      <c r="Y36" s="5">
        <f>(IF(AND((O36="Pb"),(K36="Child (0-7 years)")),(VLOOKUP(F36,Pb!$A$2:$AV$103,22)),0))*E36</f>
        <v>0</v>
      </c>
      <c r="Z36" s="5">
        <f>(IF(AND((O36="Pb"),(K36="Adult (&gt; 15 years)")),(VLOOKUP(F36,Pb!$A$2:$AV$103,48)),0))*E36</f>
        <v>0</v>
      </c>
      <c r="AA36" s="5">
        <f>(IF(AND((O36="Hg"),(K36="Child (0-7 years)")),(VLOOKUP(S36,'Hg Values'!$A$1:$M$30,3)),0))*E36</f>
        <v>0</v>
      </c>
      <c r="AB36" s="5">
        <f>(IF(AND((O36="Hg"),(K36="Child (0-7 years)")),(VLOOKUP(S36,'Hg Values'!$A$1:$M$30,13)),0))*E36</f>
        <v>0</v>
      </c>
      <c r="AC36" s="5">
        <f>((IF(AND((O36="CA"),(K36="Adult (&gt; 15 years)")),(VLOOKUP(L36,CA_ingestion!A$1:J$78,7,0)),0))*((F36/1000000)*R36*70))/14</f>
        <v>0</v>
      </c>
      <c r="AD36" s="5">
        <f t="shared" si="11"/>
        <v>0</v>
      </c>
      <c r="AE36" s="5">
        <f>((IF(AND((O36="CA"),(K36="Adult (&gt; 15 years)")),(AD36*(VLOOKUP(L36,CA_ingestion!A$1:J$78,10,0))),0)))</f>
        <v>0</v>
      </c>
      <c r="AF36" s="5">
        <f t="shared" si="12"/>
        <v>0</v>
      </c>
      <c r="AG36" s="5">
        <f t="shared" si="13"/>
        <v>0</v>
      </c>
    </row>
    <row r="37" spans="1:33">
      <c r="A37" s="30"/>
      <c r="B37" s="30"/>
      <c r="C37" s="30"/>
      <c r="D37" s="29" t="s">
        <v>369</v>
      </c>
      <c r="E37" s="35">
        <f>VLOOKUP(D37,'List Data'!$A$100:$B$104,2,0)</f>
        <v>0</v>
      </c>
      <c r="F37" s="30"/>
      <c r="G37" s="30"/>
      <c r="H37" s="30"/>
      <c r="I37" s="26" t="str">
        <f>Summary!C$23</f>
        <v>Afghanistan</v>
      </c>
      <c r="J37" s="30"/>
      <c r="K37" s="30" t="s">
        <v>213</v>
      </c>
      <c r="L37" s="30" t="s">
        <v>213</v>
      </c>
      <c r="M37" s="37">
        <f>T37*Summary!$H$27</f>
        <v>0</v>
      </c>
      <c r="N37" s="37">
        <f>U37*Summary!$H$25</f>
        <v>0</v>
      </c>
      <c r="O37" s="5">
        <f>VLOOKUP(L37,'List Data'!A$2:C$94,3,0)</f>
        <v>0</v>
      </c>
      <c r="P37" s="5" t="str">
        <f>VLOOKUP(L37,'List Data'!A$2:B$94,2,0)</f>
        <v>--------</v>
      </c>
      <c r="Q37" s="5">
        <f t="shared" si="6"/>
        <v>10.7</v>
      </c>
      <c r="R37" s="5">
        <f t="shared" si="7"/>
        <v>50</v>
      </c>
      <c r="S37" s="5">
        <f t="shared" si="8"/>
        <v>0</v>
      </c>
      <c r="T37" s="5">
        <f t="shared" si="9"/>
        <v>0</v>
      </c>
      <c r="U37" s="5">
        <f t="shared" si="10"/>
        <v>0</v>
      </c>
      <c r="V37" s="5">
        <f>(IF(AND((O37="OP"),(K37="Child (0-7 years)")),VLOOKUP(($R37*(F37/1000000)),'OP Values'!$A$1:$Q$35,7),))*E37</f>
        <v>0</v>
      </c>
      <c r="W37" s="5">
        <f>(IF(O37="OP",VLOOKUP(($R37*(F37/1000000)),'OP Values'!$A$1:$Q$35,17),))*E37</f>
        <v>0</v>
      </c>
      <c r="X37" s="5">
        <f>(IF(AND((O37="Pb"),(K37="Child (0-7 years)")),(VLOOKUP(F37,Pb!$A$1:$AV$103,13)),0))*E37</f>
        <v>0</v>
      </c>
      <c r="Y37" s="5">
        <f>(IF(AND((O37="Pb"),(K37="Child (0-7 years)")),(VLOOKUP(F37,Pb!$A$2:$AV$103,22)),0))*E37</f>
        <v>0</v>
      </c>
      <c r="Z37" s="5">
        <f>(IF(AND((O37="Pb"),(K37="Adult (&gt; 15 years)")),(VLOOKUP(F37,Pb!$A$2:$AV$103,48)),0))*E37</f>
        <v>0</v>
      </c>
      <c r="AA37" s="5">
        <f>(IF(AND((O37="Hg"),(K37="Child (0-7 years)")),(VLOOKUP(S37,'Hg Values'!$A$1:$M$30,3)),0))*E37</f>
        <v>0</v>
      </c>
      <c r="AB37" s="5">
        <f>(IF(AND((O37="Hg"),(K37="Child (0-7 years)")),(VLOOKUP(S37,'Hg Values'!$A$1:$M$30,13)),0))*E37</f>
        <v>0</v>
      </c>
      <c r="AC37" s="5">
        <f>((IF(AND((O37="CA"),(K37="Adult (&gt; 15 years)")),(VLOOKUP(L37,CA_ingestion!A$1:J$78,7,0)),0))*((F37/1000000)*R37*70))/14</f>
        <v>0</v>
      </c>
      <c r="AD37" s="5">
        <f t="shared" si="11"/>
        <v>0</v>
      </c>
      <c r="AE37" s="5">
        <f>((IF(AND((O37="CA"),(K37="Adult (&gt; 15 years)")),(AD37*(VLOOKUP(L37,CA_ingestion!A$1:J$78,10,0))),0)))</f>
        <v>0</v>
      </c>
      <c r="AF37" s="5">
        <f t="shared" si="12"/>
        <v>0</v>
      </c>
      <c r="AG37" s="5">
        <f t="shared" si="13"/>
        <v>0</v>
      </c>
    </row>
    <row r="38" spans="1:33">
      <c r="A38" s="30"/>
      <c r="B38" s="30"/>
      <c r="C38" s="30"/>
      <c r="D38" s="29" t="s">
        <v>369</v>
      </c>
      <c r="E38" s="35">
        <f>VLOOKUP(D38,'List Data'!$A$100:$B$104,2,0)</f>
        <v>0</v>
      </c>
      <c r="F38" s="30"/>
      <c r="G38" s="30"/>
      <c r="H38" s="30"/>
      <c r="I38" s="26" t="str">
        <f>Summary!C$23</f>
        <v>Afghanistan</v>
      </c>
      <c r="J38" s="30"/>
      <c r="K38" s="30" t="s">
        <v>213</v>
      </c>
      <c r="L38" s="30" t="s">
        <v>213</v>
      </c>
      <c r="M38" s="37">
        <f>T38*Summary!$H$27</f>
        <v>0</v>
      </c>
      <c r="N38" s="37">
        <f>U38*Summary!$H$25</f>
        <v>0</v>
      </c>
      <c r="O38" s="5">
        <f>VLOOKUP(L38,'List Data'!A$2:C$94,3,0)</f>
        <v>0</v>
      </c>
      <c r="P38" s="5" t="str">
        <f>VLOOKUP(L38,'List Data'!A$2:B$94,2,0)</f>
        <v>--------</v>
      </c>
      <c r="Q38" s="5">
        <f t="shared" si="6"/>
        <v>10.7</v>
      </c>
      <c r="R38" s="5">
        <f t="shared" si="7"/>
        <v>50</v>
      </c>
      <c r="S38" s="5">
        <f t="shared" si="8"/>
        <v>0</v>
      </c>
      <c r="T38" s="5">
        <f t="shared" si="9"/>
        <v>0</v>
      </c>
      <c r="U38" s="5">
        <f t="shared" si="10"/>
        <v>0</v>
      </c>
      <c r="V38" s="5">
        <f>(IF(AND((O38="OP"),(K38="Child (0-7 years)")),VLOOKUP(($R38*(F38/1000000)),'OP Values'!$A$1:$Q$35,7),))*E38</f>
        <v>0</v>
      </c>
      <c r="W38" s="5">
        <f>(IF(O38="OP",VLOOKUP(($R38*(F38/1000000)),'OP Values'!$A$1:$Q$35,17),))*E38</f>
        <v>0</v>
      </c>
      <c r="X38" s="5">
        <f>(IF(AND((O38="Pb"),(K38="Child (0-7 years)")),(VLOOKUP(F38,Pb!$A$1:$AV$103,13)),0))*E38</f>
        <v>0</v>
      </c>
      <c r="Y38" s="5">
        <f>(IF(AND((O38="Pb"),(K38="Child (0-7 years)")),(VLOOKUP(F38,Pb!$A$2:$AV$103,22)),0))*E38</f>
        <v>0</v>
      </c>
      <c r="Z38" s="5">
        <f>(IF(AND((O38="Pb"),(K38="Adult (&gt; 15 years)")),(VLOOKUP(F38,Pb!$A$2:$AV$103,48)),0))*E38</f>
        <v>0</v>
      </c>
      <c r="AA38" s="5">
        <f>(IF(AND((O38="Hg"),(K38="Child (0-7 years)")),(VLOOKUP(S38,'Hg Values'!$A$1:$M$30,3)),0))*E38</f>
        <v>0</v>
      </c>
      <c r="AB38" s="5">
        <f>(IF(AND((O38="Hg"),(K38="Child (0-7 years)")),(VLOOKUP(S38,'Hg Values'!$A$1:$M$30,13)),0))*E38</f>
        <v>0</v>
      </c>
      <c r="AC38" s="5">
        <f>((IF(AND((O38="CA"),(K38="Adult (&gt; 15 years)")),(VLOOKUP(L38,CA_ingestion!A$1:J$78,7,0)),0))*((F38/1000000)*R38*70))/14</f>
        <v>0</v>
      </c>
      <c r="AD38" s="5">
        <f t="shared" si="11"/>
        <v>0</v>
      </c>
      <c r="AE38" s="5">
        <f>((IF(AND((O38="CA"),(K38="Adult (&gt; 15 years)")),(AD38*(VLOOKUP(L38,CA_ingestion!A$1:J$78,10,0))),0)))</f>
        <v>0</v>
      </c>
      <c r="AF38" s="5">
        <f t="shared" si="12"/>
        <v>0</v>
      </c>
      <c r="AG38" s="5">
        <f t="shared" si="13"/>
        <v>0</v>
      </c>
    </row>
    <row r="39" spans="1:33">
      <c r="A39" s="30"/>
      <c r="B39" s="30"/>
      <c r="C39" s="30"/>
      <c r="D39" s="29" t="s">
        <v>369</v>
      </c>
      <c r="E39" s="35">
        <f>VLOOKUP(D39,'List Data'!$A$100:$B$104,2,0)</f>
        <v>0</v>
      </c>
      <c r="F39" s="30"/>
      <c r="G39" s="30"/>
      <c r="H39" s="30"/>
      <c r="I39" s="26" t="str">
        <f>Summary!C$23</f>
        <v>Afghanistan</v>
      </c>
      <c r="J39" s="30"/>
      <c r="K39" s="30" t="s">
        <v>213</v>
      </c>
      <c r="L39" s="30" t="s">
        <v>213</v>
      </c>
      <c r="M39" s="37">
        <f>T39*Summary!$H$27</f>
        <v>0</v>
      </c>
      <c r="N39" s="37">
        <f>U39*Summary!$H$25</f>
        <v>0</v>
      </c>
      <c r="O39" s="5">
        <f>VLOOKUP(L39,'List Data'!A$2:C$94,3,0)</f>
        <v>0</v>
      </c>
      <c r="P39" s="5" t="str">
        <f>VLOOKUP(L39,'List Data'!A$2:B$94,2,0)</f>
        <v>--------</v>
      </c>
      <c r="Q39" s="5">
        <f t="shared" si="6"/>
        <v>10.7</v>
      </c>
      <c r="R39" s="5">
        <f t="shared" si="7"/>
        <v>50</v>
      </c>
      <c r="S39" s="5">
        <f t="shared" si="8"/>
        <v>0</v>
      </c>
      <c r="T39" s="5">
        <f t="shared" si="9"/>
        <v>0</v>
      </c>
      <c r="U39" s="5">
        <f t="shared" si="10"/>
        <v>0</v>
      </c>
      <c r="V39" s="5">
        <f>(IF(AND((O39="OP"),(K39="Child (0-7 years)")),VLOOKUP(($R39*(F39/1000000)),'OP Values'!$A$1:$Q$35,7),))*E39</f>
        <v>0</v>
      </c>
      <c r="W39" s="5">
        <f>(IF(O39="OP",VLOOKUP(($R39*(F39/1000000)),'OP Values'!$A$1:$Q$35,17),))*E39</f>
        <v>0</v>
      </c>
      <c r="X39" s="5">
        <f>(IF(AND((O39="Pb"),(K39="Child (0-7 years)")),(VLOOKUP(F39,Pb!$A$1:$AV$103,13)),0))*E39</f>
        <v>0</v>
      </c>
      <c r="Y39" s="5">
        <f>(IF(AND((O39="Pb"),(K39="Child (0-7 years)")),(VLOOKUP(F39,Pb!$A$2:$AV$103,22)),0))*E39</f>
        <v>0</v>
      </c>
      <c r="Z39" s="5">
        <f>(IF(AND((O39="Pb"),(K39="Adult (&gt; 15 years)")),(VLOOKUP(F39,Pb!$A$2:$AV$103,48)),0))*E39</f>
        <v>0</v>
      </c>
      <c r="AA39" s="5">
        <f>(IF(AND((O39="Hg"),(K39="Child (0-7 years)")),(VLOOKUP(S39,'Hg Values'!$A$1:$M$30,3)),0))*E39</f>
        <v>0</v>
      </c>
      <c r="AB39" s="5">
        <f>(IF(AND((O39="Hg"),(K39="Child (0-7 years)")),(VLOOKUP(S39,'Hg Values'!$A$1:$M$30,13)),0))*E39</f>
        <v>0</v>
      </c>
      <c r="AC39" s="5">
        <f>((IF(AND((O39="CA"),(K39="Adult (&gt; 15 years)")),(VLOOKUP(L39,CA_ingestion!A$1:J$78,7,0)),0))*((F39/1000000)*R39*70))/14</f>
        <v>0</v>
      </c>
      <c r="AD39" s="5">
        <f t="shared" si="11"/>
        <v>0</v>
      </c>
      <c r="AE39" s="5">
        <f>((IF(AND((O39="CA"),(K39="Adult (&gt; 15 years)")),(AD39*(VLOOKUP(L39,CA_ingestion!A$1:J$78,10,0))),0)))</f>
        <v>0</v>
      </c>
      <c r="AF39" s="5">
        <f t="shared" si="12"/>
        <v>0</v>
      </c>
      <c r="AG39" s="5">
        <f t="shared" si="13"/>
        <v>0</v>
      </c>
    </row>
    <row r="40" spans="1:33">
      <c r="A40" s="30"/>
      <c r="B40" s="30"/>
      <c r="C40" s="30"/>
      <c r="D40" s="29" t="s">
        <v>369</v>
      </c>
      <c r="E40" s="35">
        <f>VLOOKUP(D40,'List Data'!$A$100:$B$104,2,0)</f>
        <v>0</v>
      </c>
      <c r="F40" s="30"/>
      <c r="G40" s="30"/>
      <c r="H40" s="30"/>
      <c r="I40" s="26" t="str">
        <f>Summary!C$23</f>
        <v>Afghanistan</v>
      </c>
      <c r="J40" s="30"/>
      <c r="K40" s="30" t="s">
        <v>213</v>
      </c>
      <c r="L40" s="30" t="s">
        <v>213</v>
      </c>
      <c r="M40" s="37">
        <f>T40*Summary!$H$27</f>
        <v>0</v>
      </c>
      <c r="N40" s="37">
        <f>U40*Summary!$H$25</f>
        <v>0</v>
      </c>
      <c r="O40" s="5">
        <f>VLOOKUP(L40,'List Data'!A$2:C$94,3,0)</f>
        <v>0</v>
      </c>
      <c r="P40" s="5" t="str">
        <f>VLOOKUP(L40,'List Data'!A$2:B$94,2,0)</f>
        <v>--------</v>
      </c>
      <c r="Q40" s="5">
        <f t="shared" si="6"/>
        <v>10.7</v>
      </c>
      <c r="R40" s="5">
        <f t="shared" si="7"/>
        <v>50</v>
      </c>
      <c r="S40" s="5">
        <f t="shared" si="8"/>
        <v>0</v>
      </c>
      <c r="T40" s="5">
        <f t="shared" si="9"/>
        <v>0</v>
      </c>
      <c r="U40" s="5">
        <f t="shared" si="10"/>
        <v>0</v>
      </c>
      <c r="V40" s="5">
        <f>(IF(AND((O40="OP"),(K40="Child (0-7 years)")),VLOOKUP(($R40*(F40/1000000)),'OP Values'!$A$1:$Q$35,7),))*E40</f>
        <v>0</v>
      </c>
      <c r="W40" s="5">
        <f>(IF(O40="OP",VLOOKUP(($R40*(F40/1000000)),'OP Values'!$A$1:$Q$35,17),))*E40</f>
        <v>0</v>
      </c>
      <c r="X40" s="5">
        <f>(IF(AND((O40="Pb"),(K40="Child (0-7 years)")),(VLOOKUP(F40,Pb!$A$1:$AV$103,13)),0))*E40</f>
        <v>0</v>
      </c>
      <c r="Y40" s="5">
        <f>(IF(AND((O40="Pb"),(K40="Child (0-7 years)")),(VLOOKUP(F40,Pb!$A$2:$AV$103,22)),0))*E40</f>
        <v>0</v>
      </c>
      <c r="Z40" s="5">
        <f>(IF(AND((O40="Pb"),(K40="Adult (&gt; 15 years)")),(VLOOKUP(F40,Pb!$A$2:$AV$103,48)),0))*E40</f>
        <v>0</v>
      </c>
      <c r="AA40" s="5">
        <f>(IF(AND((O40="Hg"),(K40="Child (0-7 years)")),(VLOOKUP(S40,'Hg Values'!$A$1:$M$30,3)),0))*E40</f>
        <v>0</v>
      </c>
      <c r="AB40" s="5">
        <f>(IF(AND((O40="Hg"),(K40="Child (0-7 years)")),(VLOOKUP(S40,'Hg Values'!$A$1:$M$30,13)),0))*E40</f>
        <v>0</v>
      </c>
      <c r="AC40" s="5">
        <f>((IF(AND((O40="CA"),(K40="Adult (&gt; 15 years)")),(VLOOKUP(L40,CA_ingestion!A$1:J$78,7,0)),0))*((F40/1000000)*R40*70))/14</f>
        <v>0</v>
      </c>
      <c r="AD40" s="5">
        <f t="shared" si="11"/>
        <v>0</v>
      </c>
      <c r="AE40" s="5">
        <f>((IF(AND((O40="CA"),(K40="Adult (&gt; 15 years)")),(AD40*(VLOOKUP(L40,CA_ingestion!A$1:J$78,10,0))),0)))</f>
        <v>0</v>
      </c>
      <c r="AF40" s="5">
        <f t="shared" si="12"/>
        <v>0</v>
      </c>
      <c r="AG40" s="5">
        <f t="shared" si="13"/>
        <v>0</v>
      </c>
    </row>
    <row r="41" spans="1:33">
      <c r="A41" s="30"/>
      <c r="B41" s="30"/>
      <c r="C41" s="30"/>
      <c r="D41" s="29" t="s">
        <v>369</v>
      </c>
      <c r="E41" s="35">
        <f>VLOOKUP(D41,'List Data'!$A$100:$B$104,2,0)</f>
        <v>0</v>
      </c>
      <c r="F41" s="30"/>
      <c r="G41" s="30"/>
      <c r="H41" s="30"/>
      <c r="I41" s="26" t="str">
        <f>Summary!C$23</f>
        <v>Afghanistan</v>
      </c>
      <c r="J41" s="30"/>
      <c r="K41" s="30" t="s">
        <v>213</v>
      </c>
      <c r="L41" s="30" t="s">
        <v>213</v>
      </c>
      <c r="M41" s="37">
        <f>T41*Summary!$H$27</f>
        <v>0</v>
      </c>
      <c r="N41" s="37">
        <f>U41*Summary!$H$25</f>
        <v>0</v>
      </c>
      <c r="O41" s="5">
        <f>VLOOKUP(L41,'List Data'!A$2:C$94,3,0)</f>
        <v>0</v>
      </c>
      <c r="P41" s="5" t="str">
        <f>VLOOKUP(L41,'List Data'!A$2:B$94,2,0)</f>
        <v>--------</v>
      </c>
      <c r="Q41" s="5">
        <f t="shared" si="6"/>
        <v>10.7</v>
      </c>
      <c r="R41" s="5">
        <f t="shared" si="7"/>
        <v>50</v>
      </c>
      <c r="S41" s="5">
        <f t="shared" si="8"/>
        <v>0</v>
      </c>
      <c r="T41" s="5">
        <f t="shared" si="9"/>
        <v>0</v>
      </c>
      <c r="U41" s="5">
        <f t="shared" si="10"/>
        <v>0</v>
      </c>
      <c r="V41" s="5">
        <f>(IF(AND((O41="OP"),(K41="Child (0-7 years)")),VLOOKUP(($R41*(F41/1000000)),'OP Values'!$A$1:$Q$35,7),))*E41</f>
        <v>0</v>
      </c>
      <c r="W41" s="5">
        <f>(IF(O41="OP",VLOOKUP(($R41*(F41/1000000)),'OP Values'!$A$1:$Q$35,17),))*E41</f>
        <v>0</v>
      </c>
      <c r="X41" s="5">
        <f>(IF(AND((O41="Pb"),(K41="Child (0-7 years)")),(VLOOKUP(F41,Pb!$A$1:$AV$103,13)),0))*E41</f>
        <v>0</v>
      </c>
      <c r="Y41" s="5">
        <f>(IF(AND((O41="Pb"),(K41="Child (0-7 years)")),(VLOOKUP(F41,Pb!$A$2:$AV$103,22)),0))*E41</f>
        <v>0</v>
      </c>
      <c r="Z41" s="5">
        <f>(IF(AND((O41="Pb"),(K41="Adult (&gt; 15 years)")),(VLOOKUP(F41,Pb!$A$2:$AV$103,48)),0))*E41</f>
        <v>0</v>
      </c>
      <c r="AA41" s="5">
        <f>(IF(AND((O41="Hg"),(K41="Child (0-7 years)")),(VLOOKUP(S41,'Hg Values'!$A$1:$M$30,3)),0))*E41</f>
        <v>0</v>
      </c>
      <c r="AB41" s="5">
        <f>(IF(AND((O41="Hg"),(K41="Child (0-7 years)")),(VLOOKUP(S41,'Hg Values'!$A$1:$M$30,13)),0))*E41</f>
        <v>0</v>
      </c>
      <c r="AC41" s="5">
        <f>((IF(AND((O41="CA"),(K41="Adult (&gt; 15 years)")),(VLOOKUP(L41,CA_ingestion!A$1:J$78,7,0)),0))*((F41/1000000)*R41*70))/14</f>
        <v>0</v>
      </c>
      <c r="AD41" s="5">
        <f t="shared" si="11"/>
        <v>0</v>
      </c>
      <c r="AE41" s="5">
        <f>((IF(AND((O41="CA"),(K41="Adult (&gt; 15 years)")),(AD41*(VLOOKUP(L41,CA_ingestion!A$1:J$78,10,0))),0)))</f>
        <v>0</v>
      </c>
      <c r="AF41" s="5">
        <f t="shared" si="12"/>
        <v>0</v>
      </c>
      <c r="AG41" s="5">
        <f t="shared" si="13"/>
        <v>0</v>
      </c>
    </row>
    <row r="42" spans="1:33">
      <c r="A42" s="30"/>
      <c r="B42" s="30"/>
      <c r="C42" s="30"/>
      <c r="D42" s="29" t="s">
        <v>369</v>
      </c>
      <c r="E42" s="35">
        <f>VLOOKUP(D42,'List Data'!$A$100:$B$104,2,0)</f>
        <v>0</v>
      </c>
      <c r="F42" s="30"/>
      <c r="G42" s="30"/>
      <c r="H42" s="30"/>
      <c r="I42" s="26" t="str">
        <f>Summary!C$23</f>
        <v>Afghanistan</v>
      </c>
      <c r="J42" s="30"/>
      <c r="K42" s="30" t="s">
        <v>213</v>
      </c>
      <c r="L42" s="30" t="s">
        <v>213</v>
      </c>
      <c r="M42" s="37">
        <f>T42*Summary!$H$27</f>
        <v>0</v>
      </c>
      <c r="N42" s="37">
        <f>U42*Summary!$H$25</f>
        <v>0</v>
      </c>
      <c r="O42" s="5">
        <f>VLOOKUP(L42,'List Data'!A$2:C$94,3,0)</f>
        <v>0</v>
      </c>
      <c r="P42" s="5" t="str">
        <f>VLOOKUP(L42,'List Data'!A$2:B$94,2,0)</f>
        <v>--------</v>
      </c>
      <c r="Q42" s="5">
        <f t="shared" si="6"/>
        <v>10.7</v>
      </c>
      <c r="R42" s="5">
        <f t="shared" si="7"/>
        <v>50</v>
      </c>
      <c r="S42" s="5">
        <f t="shared" si="8"/>
        <v>0</v>
      </c>
      <c r="T42" s="5">
        <f t="shared" si="9"/>
        <v>0</v>
      </c>
      <c r="U42" s="5">
        <f t="shared" si="10"/>
        <v>0</v>
      </c>
      <c r="V42" s="5">
        <f>(IF(AND((O42="OP"),(K42="Child (0-7 years)")),VLOOKUP(($R42*(F42/1000000)),'OP Values'!$A$1:$Q$35,7),))*E42</f>
        <v>0</v>
      </c>
      <c r="W42" s="5">
        <f>(IF(O42="OP",VLOOKUP(($R42*(F42/1000000)),'OP Values'!$A$1:$Q$35,17),))*E42</f>
        <v>0</v>
      </c>
      <c r="X42" s="5">
        <f>(IF(AND((O42="Pb"),(K42="Child (0-7 years)")),(VLOOKUP(F42,Pb!$A$1:$AV$103,13)),0))*E42</f>
        <v>0</v>
      </c>
      <c r="Y42" s="5">
        <f>(IF(AND((O42="Pb"),(K42="Child (0-7 years)")),(VLOOKUP(F42,Pb!$A$2:$AV$103,22)),0))*E42</f>
        <v>0</v>
      </c>
      <c r="Z42" s="5">
        <f>(IF(AND((O42="Pb"),(K42="Adult (&gt; 15 years)")),(VLOOKUP(F42,Pb!$A$2:$AV$103,48)),0))*E42</f>
        <v>0</v>
      </c>
      <c r="AA42" s="5">
        <f>(IF(AND((O42="Hg"),(K42="Child (0-7 years)")),(VLOOKUP(S42,'Hg Values'!$A$1:$M$30,3)),0))*E42</f>
        <v>0</v>
      </c>
      <c r="AB42" s="5">
        <f>(IF(AND((O42="Hg"),(K42="Child (0-7 years)")),(VLOOKUP(S42,'Hg Values'!$A$1:$M$30,13)),0))*E42</f>
        <v>0</v>
      </c>
      <c r="AC42" s="5">
        <f>((IF(AND((O42="CA"),(K42="Adult (&gt; 15 years)")),(VLOOKUP(L42,CA_ingestion!A$1:J$78,7,0)),0))*((F42/1000000)*R42*70))/14</f>
        <v>0</v>
      </c>
      <c r="AD42" s="5">
        <f t="shared" si="11"/>
        <v>0</v>
      </c>
      <c r="AE42" s="5">
        <f>((IF(AND((O42="CA"),(K42="Adult (&gt; 15 years)")),(AD42*(VLOOKUP(L42,CA_ingestion!A$1:J$78,10,0))),0)))</f>
        <v>0</v>
      </c>
      <c r="AF42" s="5">
        <f t="shared" si="12"/>
        <v>0</v>
      </c>
      <c r="AG42" s="5">
        <f t="shared" si="13"/>
        <v>0</v>
      </c>
    </row>
    <row r="43" spans="1:33">
      <c r="A43" s="30"/>
      <c r="B43" s="30"/>
      <c r="C43" s="30"/>
      <c r="D43" s="29" t="s">
        <v>369</v>
      </c>
      <c r="E43" s="35">
        <f>VLOOKUP(D43,'List Data'!$A$100:$B$104,2,0)</f>
        <v>0</v>
      </c>
      <c r="F43" s="30"/>
      <c r="G43" s="30"/>
      <c r="H43" s="30"/>
      <c r="I43" s="26" t="str">
        <f>Summary!C$23</f>
        <v>Afghanistan</v>
      </c>
      <c r="J43" s="30"/>
      <c r="K43" s="30" t="s">
        <v>213</v>
      </c>
      <c r="L43" s="30" t="s">
        <v>213</v>
      </c>
      <c r="M43" s="37">
        <f>T43*Summary!$H$27</f>
        <v>0</v>
      </c>
      <c r="N43" s="37">
        <f>U43*Summary!$H$25</f>
        <v>0</v>
      </c>
      <c r="O43" s="5">
        <f>VLOOKUP(L43,'List Data'!A$2:C$94,3,0)</f>
        <v>0</v>
      </c>
      <c r="P43" s="5" t="str">
        <f>VLOOKUP(L43,'List Data'!A$2:B$94,2,0)</f>
        <v>--------</v>
      </c>
      <c r="Q43" s="5">
        <f t="shared" si="6"/>
        <v>10.7</v>
      </c>
      <c r="R43" s="5">
        <f t="shared" si="7"/>
        <v>50</v>
      </c>
      <c r="S43" s="5">
        <f t="shared" si="8"/>
        <v>0</v>
      </c>
      <c r="T43" s="5">
        <f t="shared" si="9"/>
        <v>0</v>
      </c>
      <c r="U43" s="5">
        <f t="shared" si="10"/>
        <v>0</v>
      </c>
      <c r="V43" s="5">
        <f>(IF(AND((O43="OP"),(K43="Child (0-7 years)")),VLOOKUP(($R43*(F43/1000000)),'OP Values'!$A$1:$Q$35,7),))*E43</f>
        <v>0</v>
      </c>
      <c r="W43" s="5">
        <f>(IF(O43="OP",VLOOKUP(($R43*(F43/1000000)),'OP Values'!$A$1:$Q$35,17),))*E43</f>
        <v>0</v>
      </c>
      <c r="X43" s="5">
        <f>(IF(AND((O43="Pb"),(K43="Child (0-7 years)")),(VLOOKUP(F43,Pb!$A$1:$AV$103,13)),0))*E43</f>
        <v>0</v>
      </c>
      <c r="Y43" s="5">
        <f>(IF(AND((O43="Pb"),(K43="Child (0-7 years)")),(VLOOKUP(F43,Pb!$A$2:$AV$103,22)),0))*E43</f>
        <v>0</v>
      </c>
      <c r="Z43" s="5">
        <f>(IF(AND((O43="Pb"),(K43="Adult (&gt; 15 years)")),(VLOOKUP(F43,Pb!$A$2:$AV$103,48)),0))*E43</f>
        <v>0</v>
      </c>
      <c r="AA43" s="5">
        <f>(IF(AND((O43="Hg"),(K43="Child (0-7 years)")),(VLOOKUP(S43,'Hg Values'!$A$1:$M$30,3)),0))*E43</f>
        <v>0</v>
      </c>
      <c r="AB43" s="5">
        <f>(IF(AND((O43="Hg"),(K43="Child (0-7 years)")),(VLOOKUP(S43,'Hg Values'!$A$1:$M$30,13)),0))*E43</f>
        <v>0</v>
      </c>
      <c r="AC43" s="5">
        <f>((IF(AND((O43="CA"),(K43="Adult (&gt; 15 years)")),(VLOOKUP(L43,CA_ingestion!A$1:J$78,7,0)),0))*((F43/1000000)*R43*70))/14</f>
        <v>0</v>
      </c>
      <c r="AD43" s="5">
        <f t="shared" si="11"/>
        <v>0</v>
      </c>
      <c r="AE43" s="5">
        <f>((IF(AND((O43="CA"),(K43="Adult (&gt; 15 years)")),(AD43*(VLOOKUP(L43,CA_ingestion!A$1:J$78,10,0))),0)))</f>
        <v>0</v>
      </c>
      <c r="AF43" s="5">
        <f t="shared" si="12"/>
        <v>0</v>
      </c>
      <c r="AG43" s="5">
        <f t="shared" si="13"/>
        <v>0</v>
      </c>
    </row>
    <row r="44" spans="1:33">
      <c r="A44" s="30"/>
      <c r="B44" s="30"/>
      <c r="C44" s="30"/>
      <c r="D44" s="29" t="s">
        <v>369</v>
      </c>
      <c r="E44" s="35">
        <f>VLOOKUP(D44,'List Data'!$A$100:$B$104,2,0)</f>
        <v>0</v>
      </c>
      <c r="F44" s="30"/>
      <c r="G44" s="30"/>
      <c r="H44" s="30"/>
      <c r="I44" s="26" t="str">
        <f>Summary!C$23</f>
        <v>Afghanistan</v>
      </c>
      <c r="J44" s="30"/>
      <c r="K44" s="30" t="s">
        <v>213</v>
      </c>
      <c r="L44" s="30" t="s">
        <v>213</v>
      </c>
      <c r="M44" s="37">
        <f>T44*Summary!$H$27</f>
        <v>0</v>
      </c>
      <c r="N44" s="37">
        <f>U44*Summary!$H$25</f>
        <v>0</v>
      </c>
      <c r="O44" s="5">
        <f>VLOOKUP(L44,'List Data'!A$2:C$94,3,0)</f>
        <v>0</v>
      </c>
      <c r="P44" s="5" t="str">
        <f>VLOOKUP(L44,'List Data'!A$2:B$94,2,0)</f>
        <v>--------</v>
      </c>
      <c r="Q44" s="5">
        <f t="shared" si="6"/>
        <v>10.7</v>
      </c>
      <c r="R44" s="5">
        <f t="shared" si="7"/>
        <v>50</v>
      </c>
      <c r="S44" s="5">
        <f t="shared" si="8"/>
        <v>0</v>
      </c>
      <c r="T44" s="5">
        <f t="shared" si="9"/>
        <v>0</v>
      </c>
      <c r="U44" s="5">
        <f t="shared" si="10"/>
        <v>0</v>
      </c>
      <c r="V44" s="5">
        <f>(IF(AND((O44="OP"),(K44="Child (0-7 years)")),VLOOKUP(($R44*(F44/1000000)),'OP Values'!$A$1:$Q$35,7),))*E44</f>
        <v>0</v>
      </c>
      <c r="W44" s="5">
        <f>(IF(O44="OP",VLOOKUP(($R44*(F44/1000000)),'OP Values'!$A$1:$Q$35,17),))*E44</f>
        <v>0</v>
      </c>
      <c r="X44" s="5">
        <f>(IF(AND((O44="Pb"),(K44="Child (0-7 years)")),(VLOOKUP(F44,Pb!$A$1:$AV$103,13)),0))*E44</f>
        <v>0</v>
      </c>
      <c r="Y44" s="5">
        <f>(IF(AND((O44="Pb"),(K44="Child (0-7 years)")),(VLOOKUP(F44,Pb!$A$2:$AV$103,22)),0))*E44</f>
        <v>0</v>
      </c>
      <c r="Z44" s="5">
        <f>(IF(AND((O44="Pb"),(K44="Adult (&gt; 15 years)")),(VLOOKUP(F44,Pb!$A$2:$AV$103,48)),0))*E44</f>
        <v>0</v>
      </c>
      <c r="AA44" s="5">
        <f>(IF(AND((O44="Hg"),(K44="Child (0-7 years)")),(VLOOKUP(S44,'Hg Values'!$A$1:$M$30,3)),0))*E44</f>
        <v>0</v>
      </c>
      <c r="AB44" s="5">
        <f>(IF(AND((O44="Hg"),(K44="Child (0-7 years)")),(VLOOKUP(S44,'Hg Values'!$A$1:$M$30,13)),0))*E44</f>
        <v>0</v>
      </c>
      <c r="AC44" s="5">
        <f>((IF(AND((O44="CA"),(K44="Adult (&gt; 15 years)")),(VLOOKUP(L44,CA_ingestion!A$1:J$78,7,0)),0))*((F44/1000000)*R44*70))/14</f>
        <v>0</v>
      </c>
      <c r="AD44" s="5">
        <f t="shared" si="11"/>
        <v>0</v>
      </c>
      <c r="AE44" s="5">
        <f>((IF(AND((O44="CA"),(K44="Adult (&gt; 15 years)")),(AD44*(VLOOKUP(L44,CA_ingestion!A$1:J$78,10,0))),0)))</f>
        <v>0</v>
      </c>
      <c r="AF44" s="5">
        <f t="shared" si="12"/>
        <v>0</v>
      </c>
      <c r="AG44" s="5">
        <f t="shared" si="13"/>
        <v>0</v>
      </c>
    </row>
    <row r="45" spans="1:33">
      <c r="A45" s="30"/>
      <c r="B45" s="30"/>
      <c r="C45" s="30"/>
      <c r="D45" s="29" t="s">
        <v>369</v>
      </c>
      <c r="E45" s="35">
        <f>VLOOKUP(D45,'List Data'!$A$100:$B$104,2,0)</f>
        <v>0</v>
      </c>
      <c r="F45" s="30"/>
      <c r="G45" s="30"/>
      <c r="H45" s="30"/>
      <c r="I45" s="26" t="str">
        <f>Summary!C$23</f>
        <v>Afghanistan</v>
      </c>
      <c r="J45" s="30"/>
      <c r="K45" s="30" t="s">
        <v>213</v>
      </c>
      <c r="L45" s="30" t="s">
        <v>213</v>
      </c>
      <c r="M45" s="37">
        <f>T45*Summary!$H$27</f>
        <v>0</v>
      </c>
      <c r="N45" s="37">
        <f>U45*Summary!$H$25</f>
        <v>0</v>
      </c>
      <c r="O45" s="5">
        <f>VLOOKUP(L45,'List Data'!A$2:C$94,3,0)</f>
        <v>0</v>
      </c>
      <c r="P45" s="5" t="str">
        <f>VLOOKUP(L45,'List Data'!A$2:B$94,2,0)</f>
        <v>--------</v>
      </c>
      <c r="Q45" s="5">
        <f t="shared" si="6"/>
        <v>10.7</v>
      </c>
      <c r="R45" s="5">
        <f t="shared" si="7"/>
        <v>50</v>
      </c>
      <c r="S45" s="5">
        <f t="shared" si="8"/>
        <v>0</v>
      </c>
      <c r="T45" s="5">
        <f t="shared" si="9"/>
        <v>0</v>
      </c>
      <c r="U45" s="5">
        <f t="shared" si="10"/>
        <v>0</v>
      </c>
      <c r="V45" s="5">
        <f>(IF(AND((O45="OP"),(K45="Child (0-7 years)")),VLOOKUP(($R45*(F45/1000000)),'OP Values'!$A$1:$Q$35,7),))*E45</f>
        <v>0</v>
      </c>
      <c r="W45" s="5">
        <f>(IF(O45="OP",VLOOKUP(($R45*(F45/1000000)),'OP Values'!$A$1:$Q$35,17),))*E45</f>
        <v>0</v>
      </c>
      <c r="X45" s="5">
        <f>(IF(AND((O45="Pb"),(K45="Child (0-7 years)")),(VLOOKUP(F45,Pb!$A$1:$AV$103,13)),0))*E45</f>
        <v>0</v>
      </c>
      <c r="Y45" s="5">
        <f>(IF(AND((O45="Pb"),(K45="Child (0-7 years)")),(VLOOKUP(F45,Pb!$A$2:$AV$103,22)),0))*E45</f>
        <v>0</v>
      </c>
      <c r="Z45" s="5">
        <f>(IF(AND((O45="Pb"),(K45="Adult (&gt; 15 years)")),(VLOOKUP(F45,Pb!$A$2:$AV$103,48)),0))*E45</f>
        <v>0</v>
      </c>
      <c r="AA45" s="5">
        <f>(IF(AND((O45="Hg"),(K45="Child (0-7 years)")),(VLOOKUP(S45,'Hg Values'!$A$1:$M$30,3)),0))*E45</f>
        <v>0</v>
      </c>
      <c r="AB45" s="5">
        <f>(IF(AND((O45="Hg"),(K45="Child (0-7 years)")),(VLOOKUP(S45,'Hg Values'!$A$1:$M$30,13)),0))*E45</f>
        <v>0</v>
      </c>
      <c r="AC45" s="5">
        <f>((IF(AND((O45="CA"),(K45="Adult (&gt; 15 years)")),(VLOOKUP(L45,CA_ingestion!A$1:J$78,7,0)),0))*((F45/1000000)*R45*70))/14</f>
        <v>0</v>
      </c>
      <c r="AD45" s="5">
        <f t="shared" si="11"/>
        <v>0</v>
      </c>
      <c r="AE45" s="5">
        <f>((IF(AND((O45="CA"),(K45="Adult (&gt; 15 years)")),(AD45*(VLOOKUP(L45,CA_ingestion!A$1:J$78,10,0))),0)))</f>
        <v>0</v>
      </c>
      <c r="AF45" s="5">
        <f t="shared" si="12"/>
        <v>0</v>
      </c>
      <c r="AG45" s="5">
        <f t="shared" si="13"/>
        <v>0</v>
      </c>
    </row>
    <row r="46" spans="1:33">
      <c r="A46" s="30"/>
      <c r="B46" s="30"/>
      <c r="C46" s="30"/>
      <c r="D46" s="29" t="s">
        <v>369</v>
      </c>
      <c r="E46" s="35">
        <f>VLOOKUP(D46,'List Data'!$A$100:$B$104,2,0)</f>
        <v>0</v>
      </c>
      <c r="F46" s="30"/>
      <c r="G46" s="30"/>
      <c r="H46" s="30"/>
      <c r="I46" s="26" t="str">
        <f>Summary!C$23</f>
        <v>Afghanistan</v>
      </c>
      <c r="J46" s="30"/>
      <c r="K46" s="30" t="s">
        <v>213</v>
      </c>
      <c r="L46" s="30" t="s">
        <v>213</v>
      </c>
      <c r="M46" s="37">
        <f>T46*Summary!$H$27</f>
        <v>0</v>
      </c>
      <c r="N46" s="37">
        <f>U46*Summary!$H$25</f>
        <v>0</v>
      </c>
      <c r="O46" s="5">
        <f>VLOOKUP(L46,'List Data'!A$2:C$94,3,0)</f>
        <v>0</v>
      </c>
      <c r="P46" s="5" t="str">
        <f>VLOOKUP(L46,'List Data'!A$2:B$94,2,0)</f>
        <v>--------</v>
      </c>
      <c r="Q46" s="5">
        <f t="shared" si="6"/>
        <v>10.7</v>
      </c>
      <c r="R46" s="5">
        <f t="shared" si="7"/>
        <v>50</v>
      </c>
      <c r="S46" s="5">
        <f t="shared" si="8"/>
        <v>0</v>
      </c>
      <c r="T46" s="5">
        <f t="shared" si="9"/>
        <v>0</v>
      </c>
      <c r="U46" s="5">
        <f t="shared" si="10"/>
        <v>0</v>
      </c>
      <c r="V46" s="5">
        <f>(IF(AND((O46="OP"),(K46="Child (0-7 years)")),VLOOKUP(($R46*(F46/1000000)),'OP Values'!$A$1:$Q$35,7),))*E46</f>
        <v>0</v>
      </c>
      <c r="W46" s="5">
        <f>(IF(O46="OP",VLOOKUP(($R46*(F46/1000000)),'OP Values'!$A$1:$Q$35,17),))*E46</f>
        <v>0</v>
      </c>
      <c r="X46" s="5">
        <f>(IF(AND((O46="Pb"),(K46="Child (0-7 years)")),(VLOOKUP(F46,Pb!$A$1:$AV$103,13)),0))*E46</f>
        <v>0</v>
      </c>
      <c r="Y46" s="5">
        <f>(IF(AND((O46="Pb"),(K46="Child (0-7 years)")),(VLOOKUP(F46,Pb!$A$2:$AV$103,22)),0))*E46</f>
        <v>0</v>
      </c>
      <c r="Z46" s="5">
        <f>(IF(AND((O46="Pb"),(K46="Adult (&gt; 15 years)")),(VLOOKUP(F46,Pb!$A$2:$AV$103,48)),0))*E46</f>
        <v>0</v>
      </c>
      <c r="AA46" s="5">
        <f>(IF(AND((O46="Hg"),(K46="Child (0-7 years)")),(VLOOKUP(S46,'Hg Values'!$A$1:$M$30,3)),0))*E46</f>
        <v>0</v>
      </c>
      <c r="AB46" s="5">
        <f>(IF(AND((O46="Hg"),(K46="Child (0-7 years)")),(VLOOKUP(S46,'Hg Values'!$A$1:$M$30,13)),0))*E46</f>
        <v>0</v>
      </c>
      <c r="AC46" s="5">
        <f>((IF(AND((O46="CA"),(K46="Adult (&gt; 15 years)")),(VLOOKUP(L46,CA_ingestion!A$1:J$78,7,0)),0))*((F46/1000000)*R46*70))/14</f>
        <v>0</v>
      </c>
      <c r="AD46" s="5">
        <f t="shared" si="11"/>
        <v>0</v>
      </c>
      <c r="AE46" s="5">
        <f>((IF(AND((O46="CA"),(K46="Adult (&gt; 15 years)")),(AD46*(VLOOKUP(L46,CA_ingestion!A$1:J$78,10,0))),0)))</f>
        <v>0</v>
      </c>
      <c r="AF46" s="5">
        <f t="shared" si="12"/>
        <v>0</v>
      </c>
      <c r="AG46" s="5">
        <f t="shared" si="13"/>
        <v>0</v>
      </c>
    </row>
    <row r="47" spans="1:33">
      <c r="A47" s="30"/>
      <c r="B47" s="30"/>
      <c r="C47" s="30"/>
      <c r="D47" s="29" t="s">
        <v>369</v>
      </c>
      <c r="E47" s="35">
        <f>VLOOKUP(D47,'List Data'!$A$100:$B$104,2,0)</f>
        <v>0</v>
      </c>
      <c r="F47" s="30"/>
      <c r="G47" s="30"/>
      <c r="H47" s="30"/>
      <c r="I47" s="26" t="str">
        <f>Summary!C$23</f>
        <v>Afghanistan</v>
      </c>
      <c r="J47" s="30"/>
      <c r="K47" s="30" t="s">
        <v>213</v>
      </c>
      <c r="L47" s="30" t="s">
        <v>213</v>
      </c>
      <c r="M47" s="37">
        <f>T47*Summary!$H$27</f>
        <v>0</v>
      </c>
      <c r="N47" s="37">
        <f>U47*Summary!$H$25</f>
        <v>0</v>
      </c>
      <c r="O47" s="5">
        <f>VLOOKUP(L47,'List Data'!A$2:C$94,3,0)</f>
        <v>0</v>
      </c>
      <c r="P47" s="5" t="str">
        <f>VLOOKUP(L47,'List Data'!A$2:B$94,2,0)</f>
        <v>--------</v>
      </c>
      <c r="Q47" s="5">
        <f t="shared" si="6"/>
        <v>10.7</v>
      </c>
      <c r="R47" s="5">
        <f t="shared" si="7"/>
        <v>50</v>
      </c>
      <c r="S47" s="5">
        <f t="shared" si="8"/>
        <v>0</v>
      </c>
      <c r="T47" s="5">
        <f t="shared" si="9"/>
        <v>0</v>
      </c>
      <c r="U47" s="5">
        <f t="shared" si="10"/>
        <v>0</v>
      </c>
      <c r="V47" s="5">
        <f>(IF(AND((O47="OP"),(K47="Child (0-7 years)")),VLOOKUP(($R47*(F47/1000000)),'OP Values'!$A$1:$Q$35,7),))*E47</f>
        <v>0</v>
      </c>
      <c r="W47" s="5">
        <f>(IF(O47="OP",VLOOKUP(($R47*(F47/1000000)),'OP Values'!$A$1:$Q$35,17),))*E47</f>
        <v>0</v>
      </c>
      <c r="X47" s="5">
        <f>(IF(AND((O47="Pb"),(K47="Child (0-7 years)")),(VLOOKUP(F47,Pb!$A$1:$AV$103,13)),0))*E47</f>
        <v>0</v>
      </c>
      <c r="Y47" s="5">
        <f>(IF(AND((O47="Pb"),(K47="Child (0-7 years)")),(VLOOKUP(F47,Pb!$A$2:$AV$103,22)),0))*E47</f>
        <v>0</v>
      </c>
      <c r="Z47" s="5">
        <f>(IF(AND((O47="Pb"),(K47="Adult (&gt; 15 years)")),(VLOOKUP(F47,Pb!$A$2:$AV$103,48)),0))*E47</f>
        <v>0</v>
      </c>
      <c r="AA47" s="5">
        <f>(IF(AND((O47="Hg"),(K47="Child (0-7 years)")),(VLOOKUP(S47,'Hg Values'!$A$1:$M$30,3)),0))*E47</f>
        <v>0</v>
      </c>
      <c r="AB47" s="5">
        <f>(IF(AND((O47="Hg"),(K47="Child (0-7 years)")),(VLOOKUP(S47,'Hg Values'!$A$1:$M$30,13)),0))*E47</f>
        <v>0</v>
      </c>
      <c r="AC47" s="5">
        <f>((IF(AND((O47="CA"),(K47="Adult (&gt; 15 years)")),(VLOOKUP(L47,CA_ingestion!A$1:J$78,7,0)),0))*((F47/1000000)*R47*70))/14</f>
        <v>0</v>
      </c>
      <c r="AD47" s="5">
        <f t="shared" si="11"/>
        <v>0</v>
      </c>
      <c r="AE47" s="5">
        <f>((IF(AND((O47="CA"),(K47="Adult (&gt; 15 years)")),(AD47*(VLOOKUP(L47,CA_ingestion!A$1:J$78,10,0))),0)))</f>
        <v>0</v>
      </c>
      <c r="AF47" s="5">
        <f t="shared" si="12"/>
        <v>0</v>
      </c>
      <c r="AG47" s="5">
        <f t="shared" si="13"/>
        <v>0</v>
      </c>
    </row>
    <row r="48" spans="1:33">
      <c r="A48" s="30"/>
      <c r="B48" s="30"/>
      <c r="C48" s="30"/>
      <c r="D48" s="29" t="s">
        <v>369</v>
      </c>
      <c r="E48" s="35">
        <f>VLOOKUP(D48,'List Data'!$A$100:$B$104,2,0)</f>
        <v>0</v>
      </c>
      <c r="F48" s="30"/>
      <c r="G48" s="30"/>
      <c r="H48" s="30"/>
      <c r="I48" s="26" t="str">
        <f>Summary!C$23</f>
        <v>Afghanistan</v>
      </c>
      <c r="J48" s="30"/>
      <c r="K48" s="30" t="s">
        <v>213</v>
      </c>
      <c r="L48" s="30" t="s">
        <v>213</v>
      </c>
      <c r="M48" s="37">
        <f>T48*Summary!$H$27</f>
        <v>0</v>
      </c>
      <c r="N48" s="37">
        <f>U48*Summary!$H$25</f>
        <v>0</v>
      </c>
      <c r="O48" s="5">
        <f>VLOOKUP(L48,'List Data'!A$2:C$94,3,0)</f>
        <v>0</v>
      </c>
      <c r="P48" s="5" t="str">
        <f>VLOOKUP(L48,'List Data'!A$2:B$94,2,0)</f>
        <v>--------</v>
      </c>
      <c r="Q48" s="5">
        <f t="shared" si="6"/>
        <v>10.7</v>
      </c>
      <c r="R48" s="5">
        <f t="shared" si="7"/>
        <v>50</v>
      </c>
      <c r="S48" s="5">
        <f t="shared" si="8"/>
        <v>0</v>
      </c>
      <c r="T48" s="5">
        <f t="shared" si="9"/>
        <v>0</v>
      </c>
      <c r="U48" s="5">
        <f t="shared" si="10"/>
        <v>0</v>
      </c>
      <c r="V48" s="5">
        <f>(IF(AND((O48="OP"),(K48="Child (0-7 years)")),VLOOKUP(($R48*(F48/1000000)),'OP Values'!$A$1:$Q$35,7),))*E48</f>
        <v>0</v>
      </c>
      <c r="W48" s="5">
        <f>(IF(O48="OP",VLOOKUP(($R48*(F48/1000000)),'OP Values'!$A$1:$Q$35,17),))*E48</f>
        <v>0</v>
      </c>
      <c r="X48" s="5">
        <f>(IF(AND((O48="Pb"),(K48="Child (0-7 years)")),(VLOOKUP(F48,Pb!$A$1:$AV$103,13)),0))*E48</f>
        <v>0</v>
      </c>
      <c r="Y48" s="5">
        <f>(IF(AND((O48="Pb"),(K48="Child (0-7 years)")),(VLOOKUP(F48,Pb!$A$2:$AV$103,22)),0))*E48</f>
        <v>0</v>
      </c>
      <c r="Z48" s="5">
        <f>(IF(AND((O48="Pb"),(K48="Adult (&gt; 15 years)")),(VLOOKUP(F48,Pb!$A$2:$AV$103,48)),0))*E48</f>
        <v>0</v>
      </c>
      <c r="AA48" s="5">
        <f>(IF(AND((O48="Hg"),(K48="Child (0-7 years)")),(VLOOKUP(S48,'Hg Values'!$A$1:$M$30,3)),0))*E48</f>
        <v>0</v>
      </c>
      <c r="AB48" s="5">
        <f>(IF(AND((O48="Hg"),(K48="Child (0-7 years)")),(VLOOKUP(S48,'Hg Values'!$A$1:$M$30,13)),0))*E48</f>
        <v>0</v>
      </c>
      <c r="AC48" s="5">
        <f>((IF(AND((O48="CA"),(K48="Adult (&gt; 15 years)")),(VLOOKUP(L48,CA_ingestion!A$1:J$78,7,0)),0))*((F48/1000000)*R48*70))/14</f>
        <v>0</v>
      </c>
      <c r="AD48" s="5">
        <f t="shared" si="11"/>
        <v>0</v>
      </c>
      <c r="AE48" s="5">
        <f>((IF(AND((O48="CA"),(K48="Adult (&gt; 15 years)")),(AD48*(VLOOKUP(L48,CA_ingestion!A$1:J$78,10,0))),0)))</f>
        <v>0</v>
      </c>
      <c r="AF48" s="5">
        <f t="shared" si="12"/>
        <v>0</v>
      </c>
      <c r="AG48" s="5">
        <f t="shared" si="13"/>
        <v>0</v>
      </c>
    </row>
    <row r="49" spans="1:33">
      <c r="A49" s="30"/>
      <c r="B49" s="30"/>
      <c r="C49" s="30"/>
      <c r="D49" s="29" t="s">
        <v>369</v>
      </c>
      <c r="E49" s="35">
        <f>VLOOKUP(D49,'List Data'!$A$100:$B$104,2,0)</f>
        <v>0</v>
      </c>
      <c r="F49" s="30"/>
      <c r="G49" s="30"/>
      <c r="H49" s="30"/>
      <c r="I49" s="26" t="str">
        <f>Summary!C$23</f>
        <v>Afghanistan</v>
      </c>
      <c r="J49" s="30"/>
      <c r="K49" s="30" t="s">
        <v>213</v>
      </c>
      <c r="L49" s="30" t="s">
        <v>213</v>
      </c>
      <c r="M49" s="37">
        <f>T49*Summary!$H$27</f>
        <v>0</v>
      </c>
      <c r="N49" s="37">
        <f>U49*Summary!$H$25</f>
        <v>0</v>
      </c>
      <c r="O49" s="5">
        <f>VLOOKUP(L49,'List Data'!A$2:C$94,3,0)</f>
        <v>0</v>
      </c>
      <c r="P49" s="5" t="str">
        <f>VLOOKUP(L49,'List Data'!A$2:B$94,2,0)</f>
        <v>--------</v>
      </c>
      <c r="Q49" s="5">
        <f t="shared" si="6"/>
        <v>10.7</v>
      </c>
      <c r="R49" s="5">
        <f t="shared" si="7"/>
        <v>50</v>
      </c>
      <c r="S49" s="5">
        <f t="shared" si="8"/>
        <v>0</v>
      </c>
      <c r="T49" s="5">
        <f t="shared" si="9"/>
        <v>0</v>
      </c>
      <c r="U49" s="5">
        <f t="shared" si="10"/>
        <v>0</v>
      </c>
      <c r="V49" s="5">
        <f>(IF(AND((O49="OP"),(K49="Child (0-7 years)")),VLOOKUP(($R49*(F49/1000000)),'OP Values'!$A$1:$Q$35,7),))*E49</f>
        <v>0</v>
      </c>
      <c r="W49" s="5">
        <f>(IF(O49="OP",VLOOKUP(($R49*(F49/1000000)),'OP Values'!$A$1:$Q$35,17),))*E49</f>
        <v>0</v>
      </c>
      <c r="X49" s="5">
        <f>(IF(AND((O49="Pb"),(K49="Child (0-7 years)")),(VLOOKUP(F49,Pb!$A$1:$AV$103,13)),0))*E49</f>
        <v>0</v>
      </c>
      <c r="Y49" s="5">
        <f>(IF(AND((O49="Pb"),(K49="Child (0-7 years)")),(VLOOKUP(F49,Pb!$A$2:$AV$103,22)),0))*E49</f>
        <v>0</v>
      </c>
      <c r="Z49" s="5">
        <f>(IF(AND((O49="Pb"),(K49="Adult (&gt; 15 years)")),(VLOOKUP(F49,Pb!$A$2:$AV$103,48)),0))*E49</f>
        <v>0</v>
      </c>
      <c r="AA49" s="5">
        <f>(IF(AND((O49="Hg"),(K49="Child (0-7 years)")),(VLOOKUP(S49,'Hg Values'!$A$1:$M$30,3)),0))*E49</f>
        <v>0</v>
      </c>
      <c r="AB49" s="5">
        <f>(IF(AND((O49="Hg"),(K49="Child (0-7 years)")),(VLOOKUP(S49,'Hg Values'!$A$1:$M$30,13)),0))*E49</f>
        <v>0</v>
      </c>
      <c r="AC49" s="5">
        <f>((IF(AND((O49="CA"),(K49="Adult (&gt; 15 years)")),(VLOOKUP(L49,CA_ingestion!A$1:J$78,7,0)),0))*((F49/1000000)*R49*70))/14</f>
        <v>0</v>
      </c>
      <c r="AD49" s="5">
        <f t="shared" si="11"/>
        <v>0</v>
      </c>
      <c r="AE49" s="5">
        <f>((IF(AND((O49="CA"),(K49="Adult (&gt; 15 years)")),(AD49*(VLOOKUP(L49,CA_ingestion!A$1:J$78,10,0))),0)))</f>
        <v>0</v>
      </c>
      <c r="AF49" s="5">
        <f t="shared" si="12"/>
        <v>0</v>
      </c>
      <c r="AG49" s="5">
        <f t="shared" si="13"/>
        <v>0</v>
      </c>
    </row>
    <row r="50" spans="1:33">
      <c r="A50" s="30"/>
      <c r="B50" s="30"/>
      <c r="C50" s="30"/>
      <c r="D50" s="29" t="s">
        <v>369</v>
      </c>
      <c r="E50" s="35">
        <f>VLOOKUP(D50,'List Data'!$A$100:$B$104,2,0)</f>
        <v>0</v>
      </c>
      <c r="F50" s="30"/>
      <c r="G50" s="30"/>
      <c r="H50" s="30"/>
      <c r="I50" s="26" t="str">
        <f>Summary!C$23</f>
        <v>Afghanistan</v>
      </c>
      <c r="J50" s="30"/>
      <c r="K50" s="30" t="s">
        <v>213</v>
      </c>
      <c r="L50" s="30" t="s">
        <v>213</v>
      </c>
      <c r="M50" s="37">
        <f>T50*Summary!$H$27</f>
        <v>0</v>
      </c>
      <c r="N50" s="37">
        <f>U50*Summary!$H$25</f>
        <v>0</v>
      </c>
      <c r="O50" s="5">
        <f>VLOOKUP(L50,'List Data'!A$2:C$94,3,0)</f>
        <v>0</v>
      </c>
      <c r="P50" s="5" t="str">
        <f>VLOOKUP(L50,'List Data'!A$2:B$94,2,0)</f>
        <v>--------</v>
      </c>
      <c r="Q50" s="5">
        <f t="shared" si="6"/>
        <v>10.7</v>
      </c>
      <c r="R50" s="5">
        <f t="shared" si="7"/>
        <v>50</v>
      </c>
      <c r="S50" s="5">
        <f t="shared" si="8"/>
        <v>0</v>
      </c>
      <c r="T50" s="5">
        <f t="shared" si="9"/>
        <v>0</v>
      </c>
      <c r="U50" s="5">
        <f t="shared" si="10"/>
        <v>0</v>
      </c>
      <c r="V50" s="5">
        <f>(IF(AND((O50="OP"),(K50="Child (0-7 years)")),VLOOKUP(($R50*(F50/1000000)),'OP Values'!$A$1:$Q$35,7),))*E50</f>
        <v>0</v>
      </c>
      <c r="W50" s="5">
        <f>(IF(O50="OP",VLOOKUP(($R50*(F50/1000000)),'OP Values'!$A$1:$Q$35,17),))*E50</f>
        <v>0</v>
      </c>
      <c r="X50" s="5">
        <f>(IF(AND((O50="Pb"),(K50="Child (0-7 years)")),(VLOOKUP(F50,Pb!$A$1:$AV$103,13)),0))*E50</f>
        <v>0</v>
      </c>
      <c r="Y50" s="5">
        <f>(IF(AND((O50="Pb"),(K50="Child (0-7 years)")),(VLOOKUP(F50,Pb!$A$2:$AV$103,22)),0))*E50</f>
        <v>0</v>
      </c>
      <c r="Z50" s="5">
        <f>(IF(AND((O50="Pb"),(K50="Adult (&gt; 15 years)")),(VLOOKUP(F50,Pb!$A$2:$AV$103,48)),0))*E50</f>
        <v>0</v>
      </c>
      <c r="AA50" s="5">
        <f>(IF(AND((O50="Hg"),(K50="Child (0-7 years)")),(VLOOKUP(S50,'Hg Values'!$A$1:$M$30,3)),0))*E50</f>
        <v>0</v>
      </c>
      <c r="AB50" s="5">
        <f>(IF(AND((O50="Hg"),(K50="Child (0-7 years)")),(VLOOKUP(S50,'Hg Values'!$A$1:$M$30,13)),0))*E50</f>
        <v>0</v>
      </c>
      <c r="AC50" s="5">
        <f>((IF(AND((O50="CA"),(K50="Adult (&gt; 15 years)")),(VLOOKUP(L50,CA_ingestion!A$1:J$78,7,0)),0))*((F50/1000000)*R50*70))/14</f>
        <v>0</v>
      </c>
      <c r="AD50" s="5">
        <f t="shared" si="11"/>
        <v>0</v>
      </c>
      <c r="AE50" s="5">
        <f>((IF(AND((O50="CA"),(K50="Adult (&gt; 15 years)")),(AD50*(VLOOKUP(L50,CA_ingestion!A$1:J$78,10,0))),0)))</f>
        <v>0</v>
      </c>
      <c r="AF50" s="5">
        <f t="shared" si="12"/>
        <v>0</v>
      </c>
      <c r="AG50" s="5">
        <f t="shared" si="13"/>
        <v>0</v>
      </c>
    </row>
    <row r="51" spans="1:33">
      <c r="A51" s="30"/>
      <c r="B51" s="30"/>
      <c r="C51" s="30"/>
      <c r="D51" s="29" t="s">
        <v>369</v>
      </c>
      <c r="E51" s="35">
        <f>VLOOKUP(D51,'List Data'!$A$100:$B$104,2,0)</f>
        <v>0</v>
      </c>
      <c r="F51" s="30"/>
      <c r="G51" s="30"/>
      <c r="H51" s="30"/>
      <c r="I51" s="26" t="str">
        <f>Summary!C$23</f>
        <v>Afghanistan</v>
      </c>
      <c r="J51" s="30"/>
      <c r="K51" s="30" t="s">
        <v>213</v>
      </c>
      <c r="L51" s="30" t="s">
        <v>213</v>
      </c>
      <c r="M51" s="37">
        <f>T51*Summary!$H$27</f>
        <v>0</v>
      </c>
      <c r="N51" s="37">
        <f>U51*Summary!$H$25</f>
        <v>0</v>
      </c>
      <c r="O51" s="5">
        <f>VLOOKUP(L51,'List Data'!A$2:C$94,3,0)</f>
        <v>0</v>
      </c>
      <c r="P51" s="5" t="str">
        <f>VLOOKUP(L51,'List Data'!A$2:B$94,2,0)</f>
        <v>--------</v>
      </c>
      <c r="Q51" s="5">
        <f t="shared" si="6"/>
        <v>10.7</v>
      </c>
      <c r="R51" s="5">
        <f t="shared" si="7"/>
        <v>50</v>
      </c>
      <c r="S51" s="5">
        <f t="shared" si="8"/>
        <v>0</v>
      </c>
      <c r="T51" s="5">
        <f t="shared" si="9"/>
        <v>0</v>
      </c>
      <c r="U51" s="5">
        <f t="shared" si="10"/>
        <v>0</v>
      </c>
      <c r="V51" s="5">
        <f>(IF(AND((O51="OP"),(K51="Child (0-7 years)")),VLOOKUP(($R51*(F51/1000000)),'OP Values'!$A$1:$Q$35,7),))*E51</f>
        <v>0</v>
      </c>
      <c r="W51" s="5">
        <f>(IF(O51="OP",VLOOKUP(($R51*(F51/1000000)),'OP Values'!$A$1:$Q$35,17),))*E51</f>
        <v>0</v>
      </c>
      <c r="X51" s="5">
        <f>(IF(AND((O51="Pb"),(K51="Child (0-7 years)")),(VLOOKUP(F51,Pb!$A$1:$AV$103,13)),0))*E51</f>
        <v>0</v>
      </c>
      <c r="Y51" s="5">
        <f>(IF(AND((O51="Pb"),(K51="Child (0-7 years)")),(VLOOKUP(F51,Pb!$A$2:$AV$103,22)),0))*E51</f>
        <v>0</v>
      </c>
      <c r="Z51" s="5">
        <f>(IF(AND((O51="Pb"),(K51="Adult (&gt; 15 years)")),(VLOOKUP(F51,Pb!$A$2:$AV$103,48)),0))*E51</f>
        <v>0</v>
      </c>
      <c r="AA51" s="5">
        <f>(IF(AND((O51="Hg"),(K51="Child (0-7 years)")),(VLOOKUP(S51,'Hg Values'!$A$1:$M$30,3)),0))*E51</f>
        <v>0</v>
      </c>
      <c r="AB51" s="5">
        <f>(IF(AND((O51="Hg"),(K51="Child (0-7 years)")),(VLOOKUP(S51,'Hg Values'!$A$1:$M$30,13)),0))*E51</f>
        <v>0</v>
      </c>
      <c r="AC51" s="5">
        <f>((IF(AND((O51="CA"),(K51="Adult (&gt; 15 years)")),(VLOOKUP(L51,CA_ingestion!A$1:J$78,7,0)),0))*((F51/1000000)*R51*70))/14</f>
        <v>0</v>
      </c>
      <c r="AD51" s="5">
        <f t="shared" si="11"/>
        <v>0</v>
      </c>
      <c r="AE51" s="5">
        <f>((IF(AND((O51="CA"),(K51="Adult (&gt; 15 years)")),(AD51*(VLOOKUP(L51,CA_ingestion!A$1:J$78,10,0))),0)))</f>
        <v>0</v>
      </c>
      <c r="AF51" s="5">
        <f t="shared" si="12"/>
        <v>0</v>
      </c>
      <c r="AG51" s="5">
        <f t="shared" si="13"/>
        <v>0</v>
      </c>
    </row>
    <row r="52" spans="1:33">
      <c r="A52" s="30"/>
      <c r="B52" s="30"/>
      <c r="C52" s="30"/>
      <c r="D52" s="29" t="s">
        <v>369</v>
      </c>
      <c r="E52" s="35">
        <f>VLOOKUP(D52,'List Data'!$A$100:$B$104,2,0)</f>
        <v>0</v>
      </c>
      <c r="F52" s="30"/>
      <c r="G52" s="30"/>
      <c r="H52" s="30"/>
      <c r="I52" s="26" t="str">
        <f>Summary!C$23</f>
        <v>Afghanistan</v>
      </c>
      <c r="J52" s="30"/>
      <c r="K52" s="30" t="s">
        <v>213</v>
      </c>
      <c r="L52" s="30" t="s">
        <v>213</v>
      </c>
      <c r="M52" s="37">
        <f>T52*Summary!$H$27</f>
        <v>0</v>
      </c>
      <c r="N52" s="37">
        <f>U52*Summary!$H$25</f>
        <v>0</v>
      </c>
      <c r="O52" s="5">
        <f>VLOOKUP(L52,'List Data'!A$2:C$94,3,0)</f>
        <v>0</v>
      </c>
      <c r="P52" s="5" t="str">
        <f>VLOOKUP(L52,'List Data'!A$2:B$94,2,0)</f>
        <v>--------</v>
      </c>
      <c r="Q52" s="5">
        <f t="shared" si="6"/>
        <v>10.7</v>
      </c>
      <c r="R52" s="5">
        <f t="shared" si="7"/>
        <v>50</v>
      </c>
      <c r="S52" s="5">
        <f t="shared" si="8"/>
        <v>0</v>
      </c>
      <c r="T52" s="5">
        <f t="shared" si="9"/>
        <v>0</v>
      </c>
      <c r="U52" s="5">
        <f t="shared" si="10"/>
        <v>0</v>
      </c>
      <c r="V52" s="5">
        <f>(IF(AND((O52="OP"),(K52="Child (0-7 years)")),VLOOKUP(($R52*(F52/1000000)),'OP Values'!$A$1:$Q$35,7),))*E52</f>
        <v>0</v>
      </c>
      <c r="W52" s="5">
        <f>(IF(O52="OP",VLOOKUP(($R52*(F52/1000000)),'OP Values'!$A$1:$Q$35,17),))*E52</f>
        <v>0</v>
      </c>
      <c r="X52" s="5">
        <f>(IF(AND((O52="Pb"),(K52="Child (0-7 years)")),(VLOOKUP(F52,Pb!$A$1:$AV$103,13)),0))*E52</f>
        <v>0</v>
      </c>
      <c r="Y52" s="5">
        <f>(IF(AND((O52="Pb"),(K52="Child (0-7 years)")),(VLOOKUP(F52,Pb!$A$2:$AV$103,22)),0))*E52</f>
        <v>0</v>
      </c>
      <c r="Z52" s="5">
        <f>(IF(AND((O52="Pb"),(K52="Adult (&gt; 15 years)")),(VLOOKUP(F52,Pb!$A$2:$AV$103,48)),0))*E52</f>
        <v>0</v>
      </c>
      <c r="AA52" s="5">
        <f>(IF(AND((O52="Hg"),(K52="Child (0-7 years)")),(VLOOKUP(S52,'Hg Values'!$A$1:$M$30,3)),0))*E52</f>
        <v>0</v>
      </c>
      <c r="AB52" s="5">
        <f>(IF(AND((O52="Hg"),(K52="Child (0-7 years)")),(VLOOKUP(S52,'Hg Values'!$A$1:$M$30,13)),0))*E52</f>
        <v>0</v>
      </c>
      <c r="AC52" s="5">
        <f>((IF(AND((O52="CA"),(K52="Adult (&gt; 15 years)")),(VLOOKUP(L52,CA_ingestion!A$1:J$78,7,0)),0))*((F52/1000000)*R52*70))/14</f>
        <v>0</v>
      </c>
      <c r="AD52" s="5">
        <f t="shared" si="11"/>
        <v>0</v>
      </c>
      <c r="AE52" s="5">
        <f>((IF(AND((O52="CA"),(K52="Adult (&gt; 15 years)")),(AD52*(VLOOKUP(L52,CA_ingestion!A$1:J$78,10,0))),0)))</f>
        <v>0</v>
      </c>
      <c r="AF52" s="5">
        <f t="shared" si="12"/>
        <v>0</v>
      </c>
      <c r="AG52" s="5">
        <f t="shared" si="13"/>
        <v>0</v>
      </c>
    </row>
    <row r="53" spans="1:33">
      <c r="A53" s="30"/>
      <c r="B53" s="30"/>
      <c r="C53" s="30"/>
      <c r="D53" s="29" t="s">
        <v>369</v>
      </c>
      <c r="E53" s="35">
        <f>VLOOKUP(D53,'List Data'!$A$100:$B$104,2,0)</f>
        <v>0</v>
      </c>
      <c r="F53" s="30"/>
      <c r="G53" s="30"/>
      <c r="H53" s="30"/>
      <c r="I53" s="26" t="str">
        <f>Summary!C$23</f>
        <v>Afghanistan</v>
      </c>
      <c r="J53" s="30"/>
      <c r="K53" s="30" t="s">
        <v>213</v>
      </c>
      <c r="L53" s="30" t="s">
        <v>213</v>
      </c>
      <c r="M53" s="37">
        <f>T53*Summary!$H$27</f>
        <v>0</v>
      </c>
      <c r="N53" s="37">
        <f>U53*Summary!$H$25</f>
        <v>0</v>
      </c>
      <c r="O53" s="5">
        <f>VLOOKUP(L53,'List Data'!A$2:C$94,3,0)</f>
        <v>0</v>
      </c>
      <c r="P53" s="5" t="str">
        <f>VLOOKUP(L53,'List Data'!A$2:B$94,2,0)</f>
        <v>--------</v>
      </c>
      <c r="Q53" s="5">
        <f t="shared" si="6"/>
        <v>10.7</v>
      </c>
      <c r="R53" s="5">
        <f t="shared" si="7"/>
        <v>50</v>
      </c>
      <c r="S53" s="5">
        <f t="shared" si="8"/>
        <v>0</v>
      </c>
      <c r="T53" s="5">
        <f t="shared" si="9"/>
        <v>0</v>
      </c>
      <c r="U53" s="5">
        <f t="shared" si="10"/>
        <v>0</v>
      </c>
      <c r="V53" s="5">
        <f>(IF(AND((O53="OP"),(K53="Child (0-7 years)")),VLOOKUP(($R53*(F53/1000000)),'OP Values'!$A$1:$Q$35,7),))*E53</f>
        <v>0</v>
      </c>
      <c r="W53" s="5">
        <f>(IF(O53="OP",VLOOKUP(($R53*(F53/1000000)),'OP Values'!$A$1:$Q$35,17),))*E53</f>
        <v>0</v>
      </c>
      <c r="X53" s="5">
        <f>(IF(AND((O53="Pb"),(K53="Child (0-7 years)")),(VLOOKUP(F53,Pb!$A$1:$AV$103,13)),0))*E53</f>
        <v>0</v>
      </c>
      <c r="Y53" s="5">
        <f>(IF(AND((O53="Pb"),(K53="Child (0-7 years)")),(VLOOKUP(F53,Pb!$A$2:$AV$103,22)),0))*E53</f>
        <v>0</v>
      </c>
      <c r="Z53" s="5">
        <f>(IF(AND((O53="Pb"),(K53="Adult (&gt; 15 years)")),(VLOOKUP(F53,Pb!$A$2:$AV$103,48)),0))*E53</f>
        <v>0</v>
      </c>
      <c r="AA53" s="5">
        <f>(IF(AND((O53="Hg"),(K53="Child (0-7 years)")),(VLOOKUP(S53,'Hg Values'!$A$1:$M$30,3)),0))*E53</f>
        <v>0</v>
      </c>
      <c r="AB53" s="5">
        <f>(IF(AND((O53="Hg"),(K53="Child (0-7 years)")),(VLOOKUP(S53,'Hg Values'!$A$1:$M$30,13)),0))*E53</f>
        <v>0</v>
      </c>
      <c r="AC53" s="5">
        <f>((IF(AND((O53="CA"),(K53="Adult (&gt; 15 years)")),(VLOOKUP(L53,CA_ingestion!A$1:J$78,7,0)),0))*((F53/1000000)*R53*70))/14</f>
        <v>0</v>
      </c>
      <c r="AD53" s="5">
        <f t="shared" si="11"/>
        <v>0</v>
      </c>
      <c r="AE53" s="5">
        <f>((IF(AND((O53="CA"),(K53="Adult (&gt; 15 years)")),(AD53*(VLOOKUP(L53,CA_ingestion!A$1:J$78,10,0))),0)))</f>
        <v>0</v>
      </c>
      <c r="AF53" s="5">
        <f t="shared" si="12"/>
        <v>0</v>
      </c>
      <c r="AG53" s="5">
        <f t="shared" si="13"/>
        <v>0</v>
      </c>
    </row>
    <row r="54" spans="1:33">
      <c r="A54" s="30"/>
      <c r="B54" s="30"/>
      <c r="C54" s="30"/>
      <c r="D54" s="29" t="s">
        <v>369</v>
      </c>
      <c r="E54" s="35">
        <f>VLOOKUP(D54,'List Data'!$A$100:$B$104,2,0)</f>
        <v>0</v>
      </c>
      <c r="F54" s="30"/>
      <c r="G54" s="30"/>
      <c r="H54" s="30"/>
      <c r="I54" s="26" t="str">
        <f>Summary!C$23</f>
        <v>Afghanistan</v>
      </c>
      <c r="J54" s="30"/>
      <c r="K54" s="30" t="s">
        <v>213</v>
      </c>
      <c r="L54" s="30" t="s">
        <v>213</v>
      </c>
      <c r="M54" s="37">
        <f>T54*Summary!$H$27</f>
        <v>0</v>
      </c>
      <c r="N54" s="37">
        <f>U54*Summary!$H$25</f>
        <v>0</v>
      </c>
      <c r="O54" s="5">
        <f>VLOOKUP(L54,'List Data'!A$2:C$94,3,0)</f>
        <v>0</v>
      </c>
      <c r="P54" s="5" t="str">
        <f>VLOOKUP(L54,'List Data'!A$2:B$94,2,0)</f>
        <v>--------</v>
      </c>
      <c r="Q54" s="5">
        <f t="shared" si="6"/>
        <v>10.7</v>
      </c>
      <c r="R54" s="5">
        <f t="shared" si="7"/>
        <v>50</v>
      </c>
      <c r="S54" s="5">
        <f t="shared" si="8"/>
        <v>0</v>
      </c>
      <c r="T54" s="5">
        <f t="shared" si="9"/>
        <v>0</v>
      </c>
      <c r="U54" s="5">
        <f t="shared" si="10"/>
        <v>0</v>
      </c>
      <c r="V54" s="5">
        <f>(IF(AND((O54="OP"),(K54="Child (0-7 years)")),VLOOKUP(($R54*(F54/1000000)),'OP Values'!$A$1:$Q$35,7),))*E54</f>
        <v>0</v>
      </c>
      <c r="W54" s="5">
        <f>(IF(O54="OP",VLOOKUP(($R54*(F54/1000000)),'OP Values'!$A$1:$Q$35,17),))*E54</f>
        <v>0</v>
      </c>
      <c r="X54" s="5">
        <f>(IF(AND((O54="Pb"),(K54="Child (0-7 years)")),(VLOOKUP(F54,Pb!$A$1:$AV$103,13)),0))*E54</f>
        <v>0</v>
      </c>
      <c r="Y54" s="5">
        <f>(IF(AND((O54="Pb"),(K54="Child (0-7 years)")),(VLOOKUP(F54,Pb!$A$2:$AV$103,22)),0))*E54</f>
        <v>0</v>
      </c>
      <c r="Z54" s="5">
        <f>(IF(AND((O54="Pb"),(K54="Adult (&gt; 15 years)")),(VLOOKUP(F54,Pb!$A$2:$AV$103,48)),0))*E54</f>
        <v>0</v>
      </c>
      <c r="AA54" s="5">
        <f>(IF(AND((O54="Hg"),(K54="Child (0-7 years)")),(VLOOKUP(S54,'Hg Values'!$A$1:$M$30,3)),0))*E54</f>
        <v>0</v>
      </c>
      <c r="AB54" s="5">
        <f>(IF(AND((O54="Hg"),(K54="Child (0-7 years)")),(VLOOKUP(S54,'Hg Values'!$A$1:$M$30,13)),0))*E54</f>
        <v>0</v>
      </c>
      <c r="AC54" s="5">
        <f>((IF(AND((O54="CA"),(K54="Adult (&gt; 15 years)")),(VLOOKUP(L54,CA_ingestion!A$1:J$78,7,0)),0))*((F54/1000000)*R54*70))/14</f>
        <v>0</v>
      </c>
      <c r="AD54" s="5">
        <f t="shared" si="11"/>
        <v>0</v>
      </c>
      <c r="AE54" s="5">
        <f>((IF(AND((O54="CA"),(K54="Adult (&gt; 15 years)")),(AD54*(VLOOKUP(L54,CA_ingestion!A$1:J$78,10,0))),0)))</f>
        <v>0</v>
      </c>
      <c r="AF54" s="5">
        <f t="shared" si="12"/>
        <v>0</v>
      </c>
      <c r="AG54" s="5">
        <f t="shared" si="13"/>
        <v>0</v>
      </c>
    </row>
    <row r="55" spans="1:33">
      <c r="A55" s="30"/>
      <c r="B55" s="30"/>
      <c r="C55" s="30"/>
      <c r="D55" s="29" t="s">
        <v>369</v>
      </c>
      <c r="E55" s="35">
        <f>VLOOKUP(D55,'List Data'!$A$100:$B$104,2,0)</f>
        <v>0</v>
      </c>
      <c r="F55" s="30"/>
      <c r="G55" s="30"/>
      <c r="H55" s="30"/>
      <c r="I55" s="26" t="str">
        <f>Summary!C$23</f>
        <v>Afghanistan</v>
      </c>
      <c r="J55" s="30"/>
      <c r="K55" s="30" t="s">
        <v>213</v>
      </c>
      <c r="L55" s="30" t="s">
        <v>213</v>
      </c>
      <c r="M55" s="37">
        <f>T55*Summary!$H$27</f>
        <v>0</v>
      </c>
      <c r="N55" s="37">
        <f>U55*Summary!$H$25</f>
        <v>0</v>
      </c>
      <c r="O55" s="5">
        <f>VLOOKUP(L55,'List Data'!A$2:C$94,3,0)</f>
        <v>0</v>
      </c>
      <c r="P55" s="5" t="str">
        <f>VLOOKUP(L55,'List Data'!A$2:B$94,2,0)</f>
        <v>--------</v>
      </c>
      <c r="Q55" s="5">
        <f t="shared" si="6"/>
        <v>10.7</v>
      </c>
      <c r="R55" s="5">
        <f t="shared" si="7"/>
        <v>50</v>
      </c>
      <c r="S55" s="5">
        <f t="shared" si="8"/>
        <v>0</v>
      </c>
      <c r="T55" s="5">
        <f t="shared" si="9"/>
        <v>0</v>
      </c>
      <c r="U55" s="5">
        <f t="shared" si="10"/>
        <v>0</v>
      </c>
      <c r="V55" s="5">
        <f>(IF(AND((O55="OP"),(K55="Child (0-7 years)")),VLOOKUP(($R55*(F55/1000000)),'OP Values'!$A$1:$Q$35,7),))*E55</f>
        <v>0</v>
      </c>
      <c r="W55" s="5">
        <f>(IF(O55="OP",VLOOKUP(($R55*(F55/1000000)),'OP Values'!$A$1:$Q$35,17),))*E55</f>
        <v>0</v>
      </c>
      <c r="X55" s="5">
        <f>(IF(AND((O55="Pb"),(K55="Child (0-7 years)")),(VLOOKUP(F55,Pb!$A$1:$AV$103,13)),0))*E55</f>
        <v>0</v>
      </c>
      <c r="Y55" s="5">
        <f>(IF(AND((O55="Pb"),(K55="Child (0-7 years)")),(VLOOKUP(F55,Pb!$A$2:$AV$103,22)),0))*E55</f>
        <v>0</v>
      </c>
      <c r="Z55" s="5">
        <f>(IF(AND((O55="Pb"),(K55="Adult (&gt; 15 years)")),(VLOOKUP(F55,Pb!$A$2:$AV$103,48)),0))*E55</f>
        <v>0</v>
      </c>
      <c r="AA55" s="5">
        <f>(IF(AND((O55="Hg"),(K55="Child (0-7 years)")),(VLOOKUP(S55,'Hg Values'!$A$1:$M$30,3)),0))*E55</f>
        <v>0</v>
      </c>
      <c r="AB55" s="5">
        <f>(IF(AND((O55="Hg"),(K55="Child (0-7 years)")),(VLOOKUP(S55,'Hg Values'!$A$1:$M$30,13)),0))*E55</f>
        <v>0</v>
      </c>
      <c r="AC55" s="5">
        <f>((IF(AND((O55="CA"),(K55="Adult (&gt; 15 years)")),(VLOOKUP(L55,CA_ingestion!A$1:J$78,7,0)),0))*((F55/1000000)*R55*70))/14</f>
        <v>0</v>
      </c>
      <c r="AD55" s="5">
        <f t="shared" si="11"/>
        <v>0</v>
      </c>
      <c r="AE55" s="5">
        <f>((IF(AND((O55="CA"),(K55="Adult (&gt; 15 years)")),(AD55*(VLOOKUP(L55,CA_ingestion!A$1:J$78,10,0))),0)))</f>
        <v>0</v>
      </c>
      <c r="AF55" s="5">
        <f t="shared" si="12"/>
        <v>0</v>
      </c>
      <c r="AG55" s="5">
        <f t="shared" si="13"/>
        <v>0</v>
      </c>
    </row>
    <row r="56" spans="1:33">
      <c r="A56" s="30"/>
      <c r="B56" s="30"/>
      <c r="C56" s="30"/>
      <c r="D56" s="29" t="s">
        <v>369</v>
      </c>
      <c r="E56" s="35">
        <f>VLOOKUP(D56,'List Data'!$A$100:$B$104,2,0)</f>
        <v>0</v>
      </c>
      <c r="F56" s="30"/>
      <c r="G56" s="30"/>
      <c r="H56" s="30"/>
      <c r="I56" s="26" t="str">
        <f>Summary!C$23</f>
        <v>Afghanistan</v>
      </c>
      <c r="J56" s="30"/>
      <c r="K56" s="30" t="s">
        <v>213</v>
      </c>
      <c r="L56" s="30" t="s">
        <v>213</v>
      </c>
      <c r="M56" s="37">
        <f>T56*Summary!$H$27</f>
        <v>0</v>
      </c>
      <c r="N56" s="37">
        <f>U56*Summary!$H$25</f>
        <v>0</v>
      </c>
      <c r="O56" s="5">
        <f>VLOOKUP(L56,'List Data'!A$2:C$94,3,0)</f>
        <v>0</v>
      </c>
      <c r="P56" s="5" t="str">
        <f>VLOOKUP(L56,'List Data'!A$2:B$94,2,0)</f>
        <v>--------</v>
      </c>
      <c r="Q56" s="5">
        <f t="shared" si="6"/>
        <v>10.7</v>
      </c>
      <c r="R56" s="5">
        <f t="shared" si="7"/>
        <v>50</v>
      </c>
      <c r="S56" s="5">
        <f t="shared" si="8"/>
        <v>0</v>
      </c>
      <c r="T56" s="5">
        <f t="shared" si="9"/>
        <v>0</v>
      </c>
      <c r="U56" s="5">
        <f t="shared" si="10"/>
        <v>0</v>
      </c>
      <c r="V56" s="5">
        <f>(IF(AND((O56="OP"),(K56="Child (0-7 years)")),VLOOKUP(($R56*(F56/1000000)),'OP Values'!$A$1:$Q$35,7),))*E56</f>
        <v>0</v>
      </c>
      <c r="W56" s="5">
        <f>(IF(O56="OP",VLOOKUP(($R56*(F56/1000000)),'OP Values'!$A$1:$Q$35,17),))*E56</f>
        <v>0</v>
      </c>
      <c r="X56" s="5">
        <f>(IF(AND((O56="Pb"),(K56="Child (0-7 years)")),(VLOOKUP(F56,Pb!$A$1:$AV$103,13)),0))*E56</f>
        <v>0</v>
      </c>
      <c r="Y56" s="5">
        <f>(IF(AND((O56="Pb"),(K56="Child (0-7 years)")),(VLOOKUP(F56,Pb!$A$2:$AV$103,22)),0))*E56</f>
        <v>0</v>
      </c>
      <c r="Z56" s="5">
        <f>(IF(AND((O56="Pb"),(K56="Adult (&gt; 15 years)")),(VLOOKUP(F56,Pb!$A$2:$AV$103,48)),0))*E56</f>
        <v>0</v>
      </c>
      <c r="AA56" s="5">
        <f>(IF(AND((O56="Hg"),(K56="Child (0-7 years)")),(VLOOKUP(S56,'Hg Values'!$A$1:$M$30,3)),0))*E56</f>
        <v>0</v>
      </c>
      <c r="AB56" s="5">
        <f>(IF(AND((O56="Hg"),(K56="Child (0-7 years)")),(VLOOKUP(S56,'Hg Values'!$A$1:$M$30,13)),0))*E56</f>
        <v>0</v>
      </c>
      <c r="AC56" s="5">
        <f>((IF(AND((O56="CA"),(K56="Adult (&gt; 15 years)")),(VLOOKUP(L56,CA_ingestion!A$1:J$78,7,0)),0))*((F56/1000000)*R56*70))/14</f>
        <v>0</v>
      </c>
      <c r="AD56" s="5">
        <f t="shared" si="11"/>
        <v>0</v>
      </c>
      <c r="AE56" s="5">
        <f>((IF(AND((O56="CA"),(K56="Adult (&gt; 15 years)")),(AD56*(VLOOKUP(L56,CA_ingestion!A$1:J$78,10,0))),0)))</f>
        <v>0</v>
      </c>
      <c r="AF56" s="5">
        <f t="shared" si="12"/>
        <v>0</v>
      </c>
      <c r="AG56" s="5">
        <f t="shared" si="13"/>
        <v>0</v>
      </c>
    </row>
    <row r="57" spans="1:33">
      <c r="A57" s="30"/>
      <c r="B57" s="30"/>
      <c r="C57" s="30"/>
      <c r="D57" s="29" t="s">
        <v>369</v>
      </c>
      <c r="E57" s="35">
        <f>VLOOKUP(D57,'List Data'!$A$100:$B$104,2,0)</f>
        <v>0</v>
      </c>
      <c r="F57" s="30"/>
      <c r="G57" s="30"/>
      <c r="H57" s="30"/>
      <c r="I57" s="26" t="str">
        <f>Summary!C$23</f>
        <v>Afghanistan</v>
      </c>
      <c r="J57" s="30"/>
      <c r="K57" s="30" t="s">
        <v>213</v>
      </c>
      <c r="L57" s="30" t="s">
        <v>213</v>
      </c>
      <c r="M57" s="37">
        <f>T57*Summary!$H$27</f>
        <v>0</v>
      </c>
      <c r="N57" s="37">
        <f>U57*Summary!$H$25</f>
        <v>0</v>
      </c>
      <c r="O57" s="5">
        <f>VLOOKUP(L57,'List Data'!A$2:C$94,3,0)</f>
        <v>0</v>
      </c>
      <c r="P57" s="5" t="str">
        <f>VLOOKUP(L57,'List Data'!A$2:B$94,2,0)</f>
        <v>--------</v>
      </c>
      <c r="Q57" s="5">
        <f t="shared" si="6"/>
        <v>10.7</v>
      </c>
      <c r="R57" s="5">
        <f t="shared" si="7"/>
        <v>50</v>
      </c>
      <c r="S57" s="5">
        <f t="shared" si="8"/>
        <v>0</v>
      </c>
      <c r="T57" s="5">
        <f t="shared" si="9"/>
        <v>0</v>
      </c>
      <c r="U57" s="5">
        <f t="shared" si="10"/>
        <v>0</v>
      </c>
      <c r="V57" s="5">
        <f>(IF(AND((O57="OP"),(K57="Child (0-7 years)")),VLOOKUP(($R57*(F57/1000000)),'OP Values'!$A$1:$Q$35,7),))*E57</f>
        <v>0</v>
      </c>
      <c r="W57" s="5">
        <f>(IF(O57="OP",VLOOKUP(($R57*(F57/1000000)),'OP Values'!$A$1:$Q$35,17),))*E57</f>
        <v>0</v>
      </c>
      <c r="X57" s="5">
        <f>(IF(AND((O57="Pb"),(K57="Child (0-7 years)")),(VLOOKUP(F57,Pb!$A$1:$AV$103,13)),0))*E57</f>
        <v>0</v>
      </c>
      <c r="Y57" s="5">
        <f>(IF(AND((O57="Pb"),(K57="Child (0-7 years)")),(VLOOKUP(F57,Pb!$A$2:$AV$103,22)),0))*E57</f>
        <v>0</v>
      </c>
      <c r="Z57" s="5">
        <f>(IF(AND((O57="Pb"),(K57="Adult (&gt; 15 years)")),(VLOOKUP(F57,Pb!$A$2:$AV$103,48)),0))*E57</f>
        <v>0</v>
      </c>
      <c r="AA57" s="5">
        <f>(IF(AND((O57="Hg"),(K57="Child (0-7 years)")),(VLOOKUP(S57,'Hg Values'!$A$1:$M$30,3)),0))*E57</f>
        <v>0</v>
      </c>
      <c r="AB57" s="5">
        <f>(IF(AND((O57="Hg"),(K57="Child (0-7 years)")),(VLOOKUP(S57,'Hg Values'!$A$1:$M$30,13)),0))*E57</f>
        <v>0</v>
      </c>
      <c r="AC57" s="5">
        <f>((IF(AND((O57="CA"),(K57="Adult (&gt; 15 years)")),(VLOOKUP(L57,CA_ingestion!A$1:J$78,7,0)),0))*((F57/1000000)*R57*70))/14</f>
        <v>0</v>
      </c>
      <c r="AD57" s="5">
        <f t="shared" si="11"/>
        <v>0</v>
      </c>
      <c r="AE57" s="5">
        <f>((IF(AND((O57="CA"),(K57="Adult (&gt; 15 years)")),(AD57*(VLOOKUP(L57,CA_ingestion!A$1:J$78,10,0))),0)))</f>
        <v>0</v>
      </c>
      <c r="AF57" s="5">
        <f t="shared" si="12"/>
        <v>0</v>
      </c>
      <c r="AG57" s="5">
        <f t="shared" si="13"/>
        <v>0</v>
      </c>
    </row>
    <row r="58" spans="1:33">
      <c r="A58" s="30"/>
      <c r="B58" s="30"/>
      <c r="C58" s="30"/>
      <c r="D58" s="29" t="s">
        <v>369</v>
      </c>
      <c r="E58" s="35">
        <f>VLOOKUP(D58,'List Data'!$A$100:$B$104,2,0)</f>
        <v>0</v>
      </c>
      <c r="F58" s="30"/>
      <c r="G58" s="30"/>
      <c r="H58" s="30"/>
      <c r="I58" s="26" t="str">
        <f>Summary!C$23</f>
        <v>Afghanistan</v>
      </c>
      <c r="J58" s="30"/>
      <c r="K58" s="30" t="s">
        <v>213</v>
      </c>
      <c r="L58" s="30" t="s">
        <v>213</v>
      </c>
      <c r="M58" s="37">
        <f>T58*Summary!$H$27</f>
        <v>0</v>
      </c>
      <c r="N58" s="37">
        <f>U58*Summary!$H$25</f>
        <v>0</v>
      </c>
      <c r="O58" s="5">
        <f>VLOOKUP(L58,'List Data'!A$2:C$94,3,0)</f>
        <v>0</v>
      </c>
      <c r="P58" s="5" t="str">
        <f>VLOOKUP(L58,'List Data'!A$2:B$94,2,0)</f>
        <v>--------</v>
      </c>
      <c r="Q58" s="5">
        <f t="shared" si="6"/>
        <v>10.7</v>
      </c>
      <c r="R58" s="5">
        <f t="shared" si="7"/>
        <v>50</v>
      </c>
      <c r="S58" s="5">
        <f t="shared" si="8"/>
        <v>0</v>
      </c>
      <c r="T58" s="5">
        <f t="shared" si="9"/>
        <v>0</v>
      </c>
      <c r="U58" s="5">
        <f t="shared" si="10"/>
        <v>0</v>
      </c>
      <c r="V58" s="5">
        <f>(IF(AND((O58="OP"),(K58="Child (0-7 years)")),VLOOKUP(($R58*(F58/1000000)),'OP Values'!$A$1:$Q$35,7),))*E58</f>
        <v>0</v>
      </c>
      <c r="W58" s="5">
        <f>(IF(O58="OP",VLOOKUP(($R58*(F58/1000000)),'OP Values'!$A$1:$Q$35,17),))*E58</f>
        <v>0</v>
      </c>
      <c r="X58" s="5">
        <f>(IF(AND((O58="Pb"),(K58="Child (0-7 years)")),(VLOOKUP(F58,Pb!$A$1:$AV$103,13)),0))*E58</f>
        <v>0</v>
      </c>
      <c r="Y58" s="5">
        <f>(IF(AND((O58="Pb"),(K58="Child (0-7 years)")),(VLOOKUP(F58,Pb!$A$2:$AV$103,22)),0))*E58</f>
        <v>0</v>
      </c>
      <c r="Z58" s="5">
        <f>(IF(AND((O58="Pb"),(K58="Adult (&gt; 15 years)")),(VLOOKUP(F58,Pb!$A$2:$AV$103,48)),0))*E58</f>
        <v>0</v>
      </c>
      <c r="AA58" s="5">
        <f>(IF(AND((O58="Hg"),(K58="Child (0-7 years)")),(VLOOKUP(S58,'Hg Values'!$A$1:$M$30,3)),0))*E58</f>
        <v>0</v>
      </c>
      <c r="AB58" s="5">
        <f>(IF(AND((O58="Hg"),(K58="Child (0-7 years)")),(VLOOKUP(S58,'Hg Values'!$A$1:$M$30,13)),0))*E58</f>
        <v>0</v>
      </c>
      <c r="AC58" s="5">
        <f>((IF(AND((O58="CA"),(K58="Adult (&gt; 15 years)")),(VLOOKUP(L58,CA_ingestion!A$1:J$78,7,0)),0))*((F58/1000000)*R58*70))/14</f>
        <v>0</v>
      </c>
      <c r="AD58" s="5">
        <f t="shared" si="11"/>
        <v>0</v>
      </c>
      <c r="AE58" s="5">
        <f>((IF(AND((O58="CA"),(K58="Adult (&gt; 15 years)")),(AD58*(VLOOKUP(L58,CA_ingestion!A$1:J$78,10,0))),0)))</f>
        <v>0</v>
      </c>
      <c r="AF58" s="5">
        <f t="shared" si="12"/>
        <v>0</v>
      </c>
      <c r="AG58" s="5">
        <f t="shared" si="13"/>
        <v>0</v>
      </c>
    </row>
    <row r="59" spans="1:33">
      <c r="A59" s="30"/>
      <c r="B59" s="30"/>
      <c r="C59" s="30"/>
      <c r="D59" s="29" t="s">
        <v>369</v>
      </c>
      <c r="E59" s="35">
        <f>VLOOKUP(D59,'List Data'!$A$100:$B$104,2,0)</f>
        <v>0</v>
      </c>
      <c r="F59" s="30"/>
      <c r="G59" s="30"/>
      <c r="H59" s="30"/>
      <c r="I59" s="26" t="str">
        <f>Summary!C$23</f>
        <v>Afghanistan</v>
      </c>
      <c r="J59" s="30"/>
      <c r="K59" s="30" t="s">
        <v>213</v>
      </c>
      <c r="L59" s="30" t="s">
        <v>213</v>
      </c>
      <c r="M59" s="37">
        <f>T59*Summary!$H$27</f>
        <v>0</v>
      </c>
      <c r="N59" s="37">
        <f>U59*Summary!$H$25</f>
        <v>0</v>
      </c>
      <c r="O59" s="5">
        <f>VLOOKUP(L59,'List Data'!A$2:C$94,3,0)</f>
        <v>0</v>
      </c>
      <c r="P59" s="5" t="str">
        <f>VLOOKUP(L59,'List Data'!A$2:B$94,2,0)</f>
        <v>--------</v>
      </c>
      <c r="Q59" s="5">
        <f t="shared" si="6"/>
        <v>10.7</v>
      </c>
      <c r="R59" s="5">
        <f t="shared" si="7"/>
        <v>50</v>
      </c>
      <c r="S59" s="5">
        <f t="shared" si="8"/>
        <v>0</v>
      </c>
      <c r="T59" s="5">
        <f t="shared" si="9"/>
        <v>0</v>
      </c>
      <c r="U59" s="5">
        <f t="shared" si="10"/>
        <v>0</v>
      </c>
      <c r="V59" s="5">
        <f>(IF(AND((O59="OP"),(K59="Child (0-7 years)")),VLOOKUP(($R59*(F59/1000000)),'OP Values'!$A$1:$Q$35,7),))*E59</f>
        <v>0</v>
      </c>
      <c r="W59" s="5">
        <f>(IF(O59="OP",VLOOKUP(($R59*(F59/1000000)),'OP Values'!$A$1:$Q$35,17),))*E59</f>
        <v>0</v>
      </c>
      <c r="X59" s="5">
        <f>(IF(AND((O59="Pb"),(K59="Child (0-7 years)")),(VLOOKUP(F59,Pb!$A$1:$AV$103,13)),0))*E59</f>
        <v>0</v>
      </c>
      <c r="Y59" s="5">
        <f>(IF(AND((O59="Pb"),(K59="Child (0-7 years)")),(VLOOKUP(F59,Pb!$A$2:$AV$103,22)),0))*E59</f>
        <v>0</v>
      </c>
      <c r="Z59" s="5">
        <f>(IF(AND((O59="Pb"),(K59="Adult (&gt; 15 years)")),(VLOOKUP(F59,Pb!$A$2:$AV$103,48)),0))*E59</f>
        <v>0</v>
      </c>
      <c r="AA59" s="5">
        <f>(IF(AND((O59="Hg"),(K59="Child (0-7 years)")),(VLOOKUP(S59,'Hg Values'!$A$1:$M$30,3)),0))*E59</f>
        <v>0</v>
      </c>
      <c r="AB59" s="5">
        <f>(IF(AND((O59="Hg"),(K59="Child (0-7 years)")),(VLOOKUP(S59,'Hg Values'!$A$1:$M$30,13)),0))*E59</f>
        <v>0</v>
      </c>
      <c r="AC59" s="5">
        <f>((IF(AND((O59="CA"),(K59="Adult (&gt; 15 years)")),(VLOOKUP(L59,CA_ingestion!A$1:J$78,7,0)),0))*((F59/1000000)*R59*70))/14</f>
        <v>0</v>
      </c>
      <c r="AD59" s="5">
        <f t="shared" si="11"/>
        <v>0</v>
      </c>
      <c r="AE59" s="5">
        <f>((IF(AND((O59="CA"),(K59="Adult (&gt; 15 years)")),(AD59*(VLOOKUP(L59,CA_ingestion!A$1:J$78,10,0))),0)))</f>
        <v>0</v>
      </c>
      <c r="AF59" s="5">
        <f t="shared" si="12"/>
        <v>0</v>
      </c>
      <c r="AG59" s="5">
        <f t="shared" si="13"/>
        <v>0</v>
      </c>
    </row>
    <row r="60" spans="1:33">
      <c r="A60" s="30"/>
      <c r="B60" s="30"/>
      <c r="C60" s="30"/>
      <c r="D60" s="29" t="s">
        <v>369</v>
      </c>
      <c r="E60" s="35">
        <f>VLOOKUP(D60,'List Data'!$A$100:$B$104,2,0)</f>
        <v>0</v>
      </c>
      <c r="F60" s="30"/>
      <c r="G60" s="30"/>
      <c r="H60" s="30"/>
      <c r="I60" s="26" t="str">
        <f>Summary!C$23</f>
        <v>Afghanistan</v>
      </c>
      <c r="J60" s="30"/>
      <c r="K60" s="30" t="s">
        <v>213</v>
      </c>
      <c r="L60" s="30" t="s">
        <v>213</v>
      </c>
      <c r="M60" s="37">
        <f>T60*Summary!$H$27</f>
        <v>0</v>
      </c>
      <c r="N60" s="37">
        <f>U60*Summary!$H$25</f>
        <v>0</v>
      </c>
      <c r="O60" s="5">
        <f>VLOOKUP(L60,'List Data'!A$2:C$94,3,0)</f>
        <v>0</v>
      </c>
      <c r="P60" s="5" t="str">
        <f>VLOOKUP(L60,'List Data'!A$2:B$94,2,0)</f>
        <v>--------</v>
      </c>
      <c r="Q60" s="5">
        <f t="shared" si="6"/>
        <v>10.7</v>
      </c>
      <c r="R60" s="5">
        <f t="shared" si="7"/>
        <v>50</v>
      </c>
      <c r="S60" s="5">
        <f t="shared" si="8"/>
        <v>0</v>
      </c>
      <c r="T60" s="5">
        <f t="shared" si="9"/>
        <v>0</v>
      </c>
      <c r="U60" s="5">
        <f t="shared" si="10"/>
        <v>0</v>
      </c>
      <c r="V60" s="5">
        <f>(IF(AND((O60="OP"),(K60="Child (0-7 years)")),VLOOKUP(($R60*(F60/1000000)),'OP Values'!$A$1:$Q$35,7),))*E60</f>
        <v>0</v>
      </c>
      <c r="W60" s="5">
        <f>(IF(O60="OP",VLOOKUP(($R60*(F60/1000000)),'OP Values'!$A$1:$Q$35,17),))*E60</f>
        <v>0</v>
      </c>
      <c r="X60" s="5">
        <f>(IF(AND((O60="Pb"),(K60="Child (0-7 years)")),(VLOOKUP(F60,Pb!$A$1:$AV$103,13)),0))*E60</f>
        <v>0</v>
      </c>
      <c r="Y60" s="5">
        <f>(IF(AND((O60="Pb"),(K60="Child (0-7 years)")),(VLOOKUP(F60,Pb!$A$2:$AV$103,22)),0))*E60</f>
        <v>0</v>
      </c>
      <c r="Z60" s="5">
        <f>(IF(AND((O60="Pb"),(K60="Adult (&gt; 15 years)")),(VLOOKUP(F60,Pb!$A$2:$AV$103,48)),0))*E60</f>
        <v>0</v>
      </c>
      <c r="AA60" s="5">
        <f>(IF(AND((O60="Hg"),(K60="Child (0-7 years)")),(VLOOKUP(S60,'Hg Values'!$A$1:$M$30,3)),0))*E60</f>
        <v>0</v>
      </c>
      <c r="AB60" s="5">
        <f>(IF(AND((O60="Hg"),(K60="Child (0-7 years)")),(VLOOKUP(S60,'Hg Values'!$A$1:$M$30,13)),0))*E60</f>
        <v>0</v>
      </c>
      <c r="AC60" s="5">
        <f>((IF(AND((O60="CA"),(K60="Adult (&gt; 15 years)")),(VLOOKUP(L60,CA_ingestion!A$1:J$78,7,0)),0))*((F60/1000000)*R60*70))/14</f>
        <v>0</v>
      </c>
      <c r="AD60" s="5">
        <f t="shared" si="11"/>
        <v>0</v>
      </c>
      <c r="AE60" s="5">
        <f>((IF(AND((O60="CA"),(K60="Adult (&gt; 15 years)")),(AD60*(VLOOKUP(L60,CA_ingestion!A$1:J$78,10,0))),0)))</f>
        <v>0</v>
      </c>
      <c r="AF60" s="5">
        <f t="shared" si="12"/>
        <v>0</v>
      </c>
      <c r="AG60" s="5">
        <f t="shared" si="13"/>
        <v>0</v>
      </c>
    </row>
    <row r="61" spans="1:33">
      <c r="A61" s="30"/>
      <c r="B61" s="30"/>
      <c r="C61" s="30"/>
      <c r="D61" s="29" t="s">
        <v>369</v>
      </c>
      <c r="E61" s="35">
        <f>VLOOKUP(D61,'List Data'!$A$100:$B$104,2,0)</f>
        <v>0</v>
      </c>
      <c r="F61" s="30"/>
      <c r="G61" s="30"/>
      <c r="H61" s="30"/>
      <c r="I61" s="26" t="str">
        <f>Summary!C$23</f>
        <v>Afghanistan</v>
      </c>
      <c r="J61" s="30"/>
      <c r="K61" s="30" t="s">
        <v>213</v>
      </c>
      <c r="L61" s="30" t="s">
        <v>213</v>
      </c>
      <c r="M61" s="37">
        <f>T61*Summary!$H$27</f>
        <v>0</v>
      </c>
      <c r="N61" s="37">
        <f>U61*Summary!$H$25</f>
        <v>0</v>
      </c>
      <c r="O61" s="5">
        <f>VLOOKUP(L61,'List Data'!A$2:C$94,3,0)</f>
        <v>0</v>
      </c>
      <c r="P61" s="5" t="str">
        <f>VLOOKUP(L61,'List Data'!A$2:B$94,2,0)</f>
        <v>--------</v>
      </c>
      <c r="Q61" s="5">
        <f t="shared" si="6"/>
        <v>10.7</v>
      </c>
      <c r="R61" s="5">
        <f t="shared" si="7"/>
        <v>50</v>
      </c>
      <c r="S61" s="5">
        <f t="shared" si="8"/>
        <v>0</v>
      </c>
      <c r="T61" s="5">
        <f t="shared" si="9"/>
        <v>0</v>
      </c>
      <c r="U61" s="5">
        <f t="shared" si="10"/>
        <v>0</v>
      </c>
      <c r="V61" s="5">
        <f>(IF(AND((O61="OP"),(K61="Child (0-7 years)")),VLOOKUP(($R61*(F61/1000000)),'OP Values'!$A$1:$Q$35,7),))*E61</f>
        <v>0</v>
      </c>
      <c r="W61" s="5">
        <f>(IF(O61="OP",VLOOKUP(($R61*(F61/1000000)),'OP Values'!$A$1:$Q$35,17),))*E61</f>
        <v>0</v>
      </c>
      <c r="X61" s="5">
        <f>(IF(AND((O61="Pb"),(K61="Child (0-7 years)")),(VLOOKUP(F61,Pb!$A$1:$AV$103,13)),0))*E61</f>
        <v>0</v>
      </c>
      <c r="Y61" s="5">
        <f>(IF(AND((O61="Pb"),(K61="Child (0-7 years)")),(VLOOKUP(F61,Pb!$A$2:$AV$103,22)),0))*E61</f>
        <v>0</v>
      </c>
      <c r="Z61" s="5">
        <f>(IF(AND((O61="Pb"),(K61="Adult (&gt; 15 years)")),(VLOOKUP(F61,Pb!$A$2:$AV$103,48)),0))*E61</f>
        <v>0</v>
      </c>
      <c r="AA61" s="5">
        <f>(IF(AND((O61="Hg"),(K61="Child (0-7 years)")),(VLOOKUP(S61,'Hg Values'!$A$1:$M$30,3)),0))*E61</f>
        <v>0</v>
      </c>
      <c r="AB61" s="5">
        <f>(IF(AND((O61="Hg"),(K61="Child (0-7 years)")),(VLOOKUP(S61,'Hg Values'!$A$1:$M$30,13)),0))*E61</f>
        <v>0</v>
      </c>
      <c r="AC61" s="5">
        <f>((IF(AND((O61="CA"),(K61="Adult (&gt; 15 years)")),(VLOOKUP(L61,CA_ingestion!A$1:J$78,7,0)),0))*((F61/1000000)*R61*70))/14</f>
        <v>0</v>
      </c>
      <c r="AD61" s="5">
        <f t="shared" si="11"/>
        <v>0</v>
      </c>
      <c r="AE61" s="5">
        <f>((IF(AND((O61="CA"),(K61="Adult (&gt; 15 years)")),(AD61*(VLOOKUP(L61,CA_ingestion!A$1:J$78,10,0))),0)))</f>
        <v>0</v>
      </c>
      <c r="AF61" s="5">
        <f t="shared" si="12"/>
        <v>0</v>
      </c>
      <c r="AG61" s="5">
        <f t="shared" si="13"/>
        <v>0</v>
      </c>
    </row>
    <row r="62" spans="1:33">
      <c r="A62" s="30"/>
      <c r="B62" s="30"/>
      <c r="C62" s="30"/>
      <c r="D62" s="29" t="s">
        <v>369</v>
      </c>
      <c r="E62" s="35">
        <f>VLOOKUP(D62,'List Data'!$A$100:$B$104,2,0)</f>
        <v>0</v>
      </c>
      <c r="F62" s="30"/>
      <c r="G62" s="30"/>
      <c r="H62" s="30"/>
      <c r="I62" s="26" t="str">
        <f>Summary!C$23</f>
        <v>Afghanistan</v>
      </c>
      <c r="J62" s="30"/>
      <c r="K62" s="30" t="s">
        <v>213</v>
      </c>
      <c r="L62" s="30" t="s">
        <v>213</v>
      </c>
      <c r="M62" s="37">
        <f>T62*Summary!$H$27</f>
        <v>0</v>
      </c>
      <c r="N62" s="37">
        <f>U62*Summary!$H$25</f>
        <v>0</v>
      </c>
      <c r="O62" s="5">
        <f>VLOOKUP(L62,'List Data'!A$2:C$94,3,0)</f>
        <v>0</v>
      </c>
      <c r="P62" s="5" t="str">
        <f>VLOOKUP(L62,'List Data'!A$2:B$94,2,0)</f>
        <v>--------</v>
      </c>
      <c r="Q62" s="5">
        <f t="shared" si="6"/>
        <v>10.7</v>
      </c>
      <c r="R62" s="5">
        <f t="shared" si="7"/>
        <v>50</v>
      </c>
      <c r="S62" s="5">
        <f t="shared" si="8"/>
        <v>0</v>
      </c>
      <c r="T62" s="5">
        <f t="shared" si="9"/>
        <v>0</v>
      </c>
      <c r="U62" s="5">
        <f t="shared" si="10"/>
        <v>0</v>
      </c>
      <c r="V62" s="5">
        <f>(IF(AND((O62="OP"),(K62="Child (0-7 years)")),VLOOKUP(($R62*(F62/1000000)),'OP Values'!$A$1:$Q$35,7),))*E62</f>
        <v>0</v>
      </c>
      <c r="W62" s="5">
        <f>(IF(O62="OP",VLOOKUP(($R62*(F62/1000000)),'OP Values'!$A$1:$Q$35,17),))*E62</f>
        <v>0</v>
      </c>
      <c r="X62" s="5">
        <f>(IF(AND((O62="Pb"),(K62="Child (0-7 years)")),(VLOOKUP(F62,Pb!$A$1:$AV$103,13)),0))*E62</f>
        <v>0</v>
      </c>
      <c r="Y62" s="5">
        <f>(IF(AND((O62="Pb"),(K62="Child (0-7 years)")),(VLOOKUP(F62,Pb!$A$2:$AV$103,22)),0))*E62</f>
        <v>0</v>
      </c>
      <c r="Z62" s="5">
        <f>(IF(AND((O62="Pb"),(K62="Adult (&gt; 15 years)")),(VLOOKUP(F62,Pb!$A$2:$AV$103,48)),0))*E62</f>
        <v>0</v>
      </c>
      <c r="AA62" s="5">
        <f>(IF(AND((O62="Hg"),(K62="Child (0-7 years)")),(VLOOKUP(S62,'Hg Values'!$A$1:$M$30,3)),0))*E62</f>
        <v>0</v>
      </c>
      <c r="AB62" s="5">
        <f>(IF(AND((O62="Hg"),(K62="Child (0-7 years)")),(VLOOKUP(S62,'Hg Values'!$A$1:$M$30,13)),0))*E62</f>
        <v>0</v>
      </c>
      <c r="AC62" s="5">
        <f>((IF(AND((O62="CA"),(K62="Adult (&gt; 15 years)")),(VLOOKUP(L62,CA_ingestion!A$1:J$78,7,0)),0))*((F62/1000000)*R62*70))/14</f>
        <v>0</v>
      </c>
      <c r="AD62" s="5">
        <f t="shared" si="11"/>
        <v>0</v>
      </c>
      <c r="AE62" s="5">
        <f>((IF(AND((O62="CA"),(K62="Adult (&gt; 15 years)")),(AD62*(VLOOKUP(L62,CA_ingestion!A$1:J$78,10,0))),0)))</f>
        <v>0</v>
      </c>
      <c r="AF62" s="5">
        <f t="shared" si="12"/>
        <v>0</v>
      </c>
      <c r="AG62" s="5">
        <f t="shared" si="13"/>
        <v>0</v>
      </c>
    </row>
    <row r="63" spans="1:33">
      <c r="A63" s="30"/>
      <c r="B63" s="30"/>
      <c r="C63" s="30"/>
      <c r="D63" s="29" t="s">
        <v>369</v>
      </c>
      <c r="E63" s="35">
        <f>VLOOKUP(D63,'List Data'!$A$100:$B$104,2,0)</f>
        <v>0</v>
      </c>
      <c r="F63" s="30"/>
      <c r="G63" s="30"/>
      <c r="H63" s="30"/>
      <c r="I63" s="26" t="str">
        <f>Summary!C$23</f>
        <v>Afghanistan</v>
      </c>
      <c r="J63" s="30"/>
      <c r="K63" s="30" t="s">
        <v>213</v>
      </c>
      <c r="L63" s="30" t="s">
        <v>213</v>
      </c>
      <c r="M63" s="37">
        <f>T63*Summary!$H$27</f>
        <v>0</v>
      </c>
      <c r="N63" s="37">
        <f>U63*Summary!$H$25</f>
        <v>0</v>
      </c>
      <c r="O63" s="5">
        <f>VLOOKUP(L63,'List Data'!A$2:C$94,3,0)</f>
        <v>0</v>
      </c>
      <c r="P63" s="5" t="str">
        <f>VLOOKUP(L63,'List Data'!A$2:B$94,2,0)</f>
        <v>--------</v>
      </c>
      <c r="Q63" s="5">
        <f t="shared" si="6"/>
        <v>10.7</v>
      </c>
      <c r="R63" s="5">
        <f t="shared" si="7"/>
        <v>50</v>
      </c>
      <c r="S63" s="5">
        <f t="shared" si="8"/>
        <v>0</v>
      </c>
      <c r="T63" s="5">
        <f t="shared" si="9"/>
        <v>0</v>
      </c>
      <c r="U63" s="5">
        <f t="shared" si="10"/>
        <v>0</v>
      </c>
      <c r="V63" s="5">
        <f>(IF(AND((O63="OP"),(K63="Child (0-7 years)")),VLOOKUP(($R63*(F63/1000000)),'OP Values'!$A$1:$Q$35,7),))*E63</f>
        <v>0</v>
      </c>
      <c r="W63" s="5">
        <f>(IF(O63="OP",VLOOKUP(($R63*(F63/1000000)),'OP Values'!$A$1:$Q$35,17),))*E63</f>
        <v>0</v>
      </c>
      <c r="X63" s="5">
        <f>(IF(AND((O63="Pb"),(K63="Child (0-7 years)")),(VLOOKUP(F63,Pb!$A$1:$AV$103,13)),0))*E63</f>
        <v>0</v>
      </c>
      <c r="Y63" s="5">
        <f>(IF(AND((O63="Pb"),(K63="Child (0-7 years)")),(VLOOKUP(F63,Pb!$A$2:$AV$103,22)),0))*E63</f>
        <v>0</v>
      </c>
      <c r="Z63" s="5">
        <f>(IF(AND((O63="Pb"),(K63="Adult (&gt; 15 years)")),(VLOOKUP(F63,Pb!$A$2:$AV$103,48)),0))*E63</f>
        <v>0</v>
      </c>
      <c r="AA63" s="5">
        <f>(IF(AND((O63="Hg"),(K63="Child (0-7 years)")),(VLOOKUP(S63,'Hg Values'!$A$1:$M$30,3)),0))*E63</f>
        <v>0</v>
      </c>
      <c r="AB63" s="5">
        <f>(IF(AND((O63="Hg"),(K63="Child (0-7 years)")),(VLOOKUP(S63,'Hg Values'!$A$1:$M$30,13)),0))*E63</f>
        <v>0</v>
      </c>
      <c r="AC63" s="5">
        <f>((IF(AND((O63="CA"),(K63="Adult (&gt; 15 years)")),(VLOOKUP(L63,CA_ingestion!A$1:J$78,7,0)),0))*((F63/1000000)*R63*70))/14</f>
        <v>0</v>
      </c>
      <c r="AD63" s="5">
        <f t="shared" si="11"/>
        <v>0</v>
      </c>
      <c r="AE63" s="5">
        <f>((IF(AND((O63="CA"),(K63="Adult (&gt; 15 years)")),(AD63*(VLOOKUP(L63,CA_ingestion!A$1:J$78,10,0))),0)))</f>
        <v>0</v>
      </c>
      <c r="AF63" s="5">
        <f t="shared" si="12"/>
        <v>0</v>
      </c>
      <c r="AG63" s="5">
        <f t="shared" si="13"/>
        <v>0</v>
      </c>
    </row>
    <row r="64" spans="1:33">
      <c r="A64" s="30"/>
      <c r="B64" s="30"/>
      <c r="C64" s="30"/>
      <c r="D64" s="29" t="s">
        <v>369</v>
      </c>
      <c r="E64" s="35">
        <f>VLOOKUP(D64,'List Data'!$A$100:$B$104,2,0)</f>
        <v>0</v>
      </c>
      <c r="F64" s="30"/>
      <c r="G64" s="30"/>
      <c r="H64" s="30"/>
      <c r="I64" s="26" t="str">
        <f>Summary!C$23</f>
        <v>Afghanistan</v>
      </c>
      <c r="J64" s="30"/>
      <c r="K64" s="30" t="s">
        <v>213</v>
      </c>
      <c r="L64" s="30" t="s">
        <v>213</v>
      </c>
      <c r="M64" s="37">
        <f>T64*Summary!$H$27</f>
        <v>0</v>
      </c>
      <c r="N64" s="37">
        <f>U64*Summary!$H$25</f>
        <v>0</v>
      </c>
      <c r="O64" s="5">
        <f>VLOOKUP(L64,'List Data'!A$2:C$94,3,0)</f>
        <v>0</v>
      </c>
      <c r="P64" s="5" t="str">
        <f>VLOOKUP(L64,'List Data'!A$2:B$94,2,0)</f>
        <v>--------</v>
      </c>
      <c r="Q64" s="5">
        <f t="shared" si="6"/>
        <v>10.7</v>
      </c>
      <c r="R64" s="5">
        <f t="shared" si="7"/>
        <v>50</v>
      </c>
      <c r="S64" s="5">
        <f t="shared" si="8"/>
        <v>0</v>
      </c>
      <c r="T64" s="5">
        <f t="shared" si="9"/>
        <v>0</v>
      </c>
      <c r="U64" s="5">
        <f t="shared" si="10"/>
        <v>0</v>
      </c>
      <c r="V64" s="5">
        <f>(IF(AND((O64="OP"),(K64="Child (0-7 years)")),VLOOKUP(($R64*(F64/1000000)),'OP Values'!$A$1:$Q$35,7),))*E64</f>
        <v>0</v>
      </c>
      <c r="W64" s="5">
        <f>(IF(O64="OP",VLOOKUP(($R64*(F64/1000000)),'OP Values'!$A$1:$Q$35,17),))*E64</f>
        <v>0</v>
      </c>
      <c r="X64" s="5">
        <f>(IF(AND((O64="Pb"),(K64="Child (0-7 years)")),(VLOOKUP(F64,Pb!$A$1:$AV$103,13)),0))*E64</f>
        <v>0</v>
      </c>
      <c r="Y64" s="5">
        <f>(IF(AND((O64="Pb"),(K64="Child (0-7 years)")),(VLOOKUP(F64,Pb!$A$2:$AV$103,22)),0))*E64</f>
        <v>0</v>
      </c>
      <c r="Z64" s="5">
        <f>(IF(AND((O64="Pb"),(K64="Adult (&gt; 15 years)")),(VLOOKUP(F64,Pb!$A$2:$AV$103,48)),0))*E64</f>
        <v>0</v>
      </c>
      <c r="AA64" s="5">
        <f>(IF(AND((O64="Hg"),(K64="Child (0-7 years)")),(VLOOKUP(S64,'Hg Values'!$A$1:$M$30,3)),0))*E64</f>
        <v>0</v>
      </c>
      <c r="AB64" s="5">
        <f>(IF(AND((O64="Hg"),(K64="Child (0-7 years)")),(VLOOKUP(S64,'Hg Values'!$A$1:$M$30,13)),0))*E64</f>
        <v>0</v>
      </c>
      <c r="AC64" s="5">
        <f>((IF(AND((O64="CA"),(K64="Adult (&gt; 15 years)")),(VLOOKUP(L64,CA_ingestion!A$1:J$78,7,0)),0))*((F64/1000000)*R64*70))/14</f>
        <v>0</v>
      </c>
      <c r="AD64" s="5">
        <f t="shared" si="11"/>
        <v>0</v>
      </c>
      <c r="AE64" s="5">
        <f>((IF(AND((O64="CA"),(K64="Adult (&gt; 15 years)")),(AD64*(VLOOKUP(L64,CA_ingestion!A$1:J$78,10,0))),0)))</f>
        <v>0</v>
      </c>
      <c r="AF64" s="5">
        <f t="shared" si="12"/>
        <v>0</v>
      </c>
      <c r="AG64" s="5">
        <f t="shared" si="13"/>
        <v>0</v>
      </c>
    </row>
    <row r="65" spans="1:33">
      <c r="A65" s="30"/>
      <c r="B65" s="30"/>
      <c r="C65" s="30"/>
      <c r="D65" s="29" t="s">
        <v>369</v>
      </c>
      <c r="E65" s="35">
        <f>VLOOKUP(D65,'List Data'!$A$100:$B$104,2,0)</f>
        <v>0</v>
      </c>
      <c r="F65" s="30"/>
      <c r="G65" s="30"/>
      <c r="H65" s="30"/>
      <c r="I65" s="26" t="str">
        <f>Summary!C$23</f>
        <v>Afghanistan</v>
      </c>
      <c r="J65" s="30"/>
      <c r="K65" s="30" t="s">
        <v>213</v>
      </c>
      <c r="L65" s="30" t="s">
        <v>213</v>
      </c>
      <c r="M65" s="37">
        <f>T65*Summary!$H$27</f>
        <v>0</v>
      </c>
      <c r="N65" s="37">
        <f>U65*Summary!$H$25</f>
        <v>0</v>
      </c>
      <c r="O65" s="5">
        <f>VLOOKUP(L65,'List Data'!A$2:C$94,3,0)</f>
        <v>0</v>
      </c>
      <c r="P65" s="5" t="str">
        <f>VLOOKUP(L65,'List Data'!A$2:B$94,2,0)</f>
        <v>--------</v>
      </c>
      <c r="Q65" s="5">
        <f t="shared" si="6"/>
        <v>10.7</v>
      </c>
      <c r="R65" s="5">
        <f t="shared" si="7"/>
        <v>50</v>
      </c>
      <c r="S65" s="5">
        <f t="shared" si="8"/>
        <v>0</v>
      </c>
      <c r="T65" s="5">
        <f t="shared" si="9"/>
        <v>0</v>
      </c>
      <c r="U65" s="5">
        <f t="shared" si="10"/>
        <v>0</v>
      </c>
      <c r="V65" s="5">
        <f>(IF(AND((O65="OP"),(K65="Child (0-7 years)")),VLOOKUP(($R65*(F65/1000000)),'OP Values'!$A$1:$Q$35,7),))*E65</f>
        <v>0</v>
      </c>
      <c r="W65" s="5">
        <f>(IF(O65="OP",VLOOKUP(($R65*(F65/1000000)),'OP Values'!$A$1:$Q$35,17),))*E65</f>
        <v>0</v>
      </c>
      <c r="X65" s="5">
        <f>(IF(AND((O65="Pb"),(K65="Child (0-7 years)")),(VLOOKUP(F65,Pb!$A$1:$AV$103,13)),0))*E65</f>
        <v>0</v>
      </c>
      <c r="Y65" s="5">
        <f>(IF(AND((O65="Pb"),(K65="Child (0-7 years)")),(VLOOKUP(F65,Pb!$A$2:$AV$103,22)),0))*E65</f>
        <v>0</v>
      </c>
      <c r="Z65" s="5">
        <f>(IF(AND((O65="Pb"),(K65="Adult (&gt; 15 years)")),(VLOOKUP(F65,Pb!$A$2:$AV$103,48)),0))*E65</f>
        <v>0</v>
      </c>
      <c r="AA65" s="5">
        <f>(IF(AND((O65="Hg"),(K65="Child (0-7 years)")),(VLOOKUP(S65,'Hg Values'!$A$1:$M$30,3)),0))*E65</f>
        <v>0</v>
      </c>
      <c r="AB65" s="5">
        <f>(IF(AND((O65="Hg"),(K65="Child (0-7 years)")),(VLOOKUP(S65,'Hg Values'!$A$1:$M$30,13)),0))*E65</f>
        <v>0</v>
      </c>
      <c r="AC65" s="5">
        <f>((IF(AND((O65="CA"),(K65="Adult (&gt; 15 years)")),(VLOOKUP(L65,CA_ingestion!A$1:J$78,7,0)),0))*((F65/1000000)*R65*70))/14</f>
        <v>0</v>
      </c>
      <c r="AD65" s="5">
        <f t="shared" si="11"/>
        <v>0</v>
      </c>
      <c r="AE65" s="5">
        <f>((IF(AND((O65="CA"),(K65="Adult (&gt; 15 years)")),(AD65*(VLOOKUP(L65,CA_ingestion!A$1:J$78,10,0))),0)))</f>
        <v>0</v>
      </c>
      <c r="AF65" s="5">
        <f t="shared" si="12"/>
        <v>0</v>
      </c>
      <c r="AG65" s="5">
        <f t="shared" si="13"/>
        <v>0</v>
      </c>
    </row>
    <row r="66" spans="1:33">
      <c r="A66" s="30"/>
      <c r="B66" s="30"/>
      <c r="C66" s="30"/>
      <c r="D66" s="29" t="s">
        <v>369</v>
      </c>
      <c r="E66" s="35">
        <f>VLOOKUP(D66,'List Data'!$A$100:$B$104,2,0)</f>
        <v>0</v>
      </c>
      <c r="F66" s="30"/>
      <c r="G66" s="30"/>
      <c r="H66" s="30"/>
      <c r="I66" s="26" t="str">
        <f>Summary!C$23</f>
        <v>Afghanistan</v>
      </c>
      <c r="J66" s="30"/>
      <c r="K66" s="30" t="s">
        <v>213</v>
      </c>
      <c r="L66" s="30" t="s">
        <v>213</v>
      </c>
      <c r="M66" s="37">
        <f>T66*Summary!$H$27</f>
        <v>0</v>
      </c>
      <c r="N66" s="37">
        <f>U66*Summary!$H$25</f>
        <v>0</v>
      </c>
      <c r="O66" s="5">
        <f>VLOOKUP(L66,'List Data'!A$2:C$94,3,0)</f>
        <v>0</v>
      </c>
      <c r="P66" s="5" t="str">
        <f>VLOOKUP(L66,'List Data'!A$2:B$94,2,0)</f>
        <v>--------</v>
      </c>
      <c r="Q66" s="5">
        <f t="shared" si="6"/>
        <v>10.7</v>
      </c>
      <c r="R66" s="5">
        <f t="shared" si="7"/>
        <v>50</v>
      </c>
      <c r="S66" s="5">
        <f t="shared" si="8"/>
        <v>0</v>
      </c>
      <c r="T66" s="5">
        <f t="shared" si="9"/>
        <v>0</v>
      </c>
      <c r="U66" s="5">
        <f t="shared" si="10"/>
        <v>0</v>
      </c>
      <c r="V66" s="5">
        <f>(IF(AND((O66="OP"),(K66="Child (0-7 years)")),VLOOKUP(($R66*(F66/1000000)),'OP Values'!$A$1:$Q$35,7),))*E66</f>
        <v>0</v>
      </c>
      <c r="W66" s="5">
        <f>(IF(O66="OP",VLOOKUP(($R66*(F66/1000000)),'OP Values'!$A$1:$Q$35,17),))*E66</f>
        <v>0</v>
      </c>
      <c r="X66" s="5">
        <f>(IF(AND((O66="Pb"),(K66="Child (0-7 years)")),(VLOOKUP(F66,Pb!$A$1:$AV$103,13)),0))*E66</f>
        <v>0</v>
      </c>
      <c r="Y66" s="5">
        <f>(IF(AND((O66="Pb"),(K66="Child (0-7 years)")),(VLOOKUP(F66,Pb!$A$2:$AV$103,22)),0))*E66</f>
        <v>0</v>
      </c>
      <c r="Z66" s="5">
        <f>(IF(AND((O66="Pb"),(K66="Adult (&gt; 15 years)")),(VLOOKUP(F66,Pb!$A$2:$AV$103,48)),0))*E66</f>
        <v>0</v>
      </c>
      <c r="AA66" s="5">
        <f>(IF(AND((O66="Hg"),(K66="Child (0-7 years)")),(VLOOKUP(S66,'Hg Values'!$A$1:$M$30,3)),0))*E66</f>
        <v>0</v>
      </c>
      <c r="AB66" s="5">
        <f>(IF(AND((O66="Hg"),(K66="Child (0-7 years)")),(VLOOKUP(S66,'Hg Values'!$A$1:$M$30,13)),0))*E66</f>
        <v>0</v>
      </c>
      <c r="AC66" s="5">
        <f>((IF(AND((O66="CA"),(K66="Adult (&gt; 15 years)")),(VLOOKUP(L66,CA_ingestion!A$1:J$78,7,0)),0))*((F66/1000000)*R66*70))/14</f>
        <v>0</v>
      </c>
      <c r="AD66" s="5">
        <f t="shared" si="11"/>
        <v>0</v>
      </c>
      <c r="AE66" s="5">
        <f>((IF(AND((O66="CA"),(K66="Adult (&gt; 15 years)")),(AD66*(VLOOKUP(L66,CA_ingestion!A$1:J$78,10,0))),0)))</f>
        <v>0</v>
      </c>
      <c r="AF66" s="5">
        <f t="shared" si="12"/>
        <v>0</v>
      </c>
      <c r="AG66" s="5">
        <f t="shared" si="13"/>
        <v>0</v>
      </c>
    </row>
    <row r="67" spans="1:33">
      <c r="A67" s="30"/>
      <c r="B67" s="30"/>
      <c r="C67" s="30"/>
      <c r="D67" s="29" t="s">
        <v>369</v>
      </c>
      <c r="E67" s="35">
        <f>VLOOKUP(D67,'List Data'!$A$100:$B$104,2,0)</f>
        <v>0</v>
      </c>
      <c r="F67" s="30"/>
      <c r="G67" s="30"/>
      <c r="H67" s="30"/>
      <c r="I67" s="26" t="str">
        <f>Summary!C$23</f>
        <v>Afghanistan</v>
      </c>
      <c r="J67" s="30"/>
      <c r="K67" s="30" t="s">
        <v>213</v>
      </c>
      <c r="L67" s="30" t="s">
        <v>213</v>
      </c>
      <c r="M67" s="37">
        <f>T67*Summary!$H$27</f>
        <v>0</v>
      </c>
      <c r="N67" s="37">
        <f>U67*Summary!$H$25</f>
        <v>0</v>
      </c>
      <c r="O67" s="5">
        <f>VLOOKUP(L67,'List Data'!A$2:C$94,3,0)</f>
        <v>0</v>
      </c>
      <c r="P67" s="5" t="str">
        <f>VLOOKUP(L67,'List Data'!A$2:B$94,2,0)</f>
        <v>--------</v>
      </c>
      <c r="Q67" s="5">
        <f t="shared" si="6"/>
        <v>10.7</v>
      </c>
      <c r="R67" s="5">
        <f t="shared" si="7"/>
        <v>50</v>
      </c>
      <c r="S67" s="5">
        <f t="shared" si="8"/>
        <v>0</v>
      </c>
      <c r="T67" s="5">
        <f t="shared" si="9"/>
        <v>0</v>
      </c>
      <c r="U67" s="5">
        <f t="shared" si="10"/>
        <v>0</v>
      </c>
      <c r="V67" s="5">
        <f>(IF(AND((O67="OP"),(K67="Child (0-7 years)")),VLOOKUP(($R67*(F67/1000000)),'OP Values'!$A$1:$Q$35,7),))*E67</f>
        <v>0</v>
      </c>
      <c r="W67" s="5">
        <f>(IF(O67="OP",VLOOKUP(($R67*(F67/1000000)),'OP Values'!$A$1:$Q$35,17),))*E67</f>
        <v>0</v>
      </c>
      <c r="X67" s="5">
        <f>(IF(AND((O67="Pb"),(K67="Child (0-7 years)")),(VLOOKUP(F67,Pb!$A$1:$AV$103,13)),0))*E67</f>
        <v>0</v>
      </c>
      <c r="Y67" s="5">
        <f>(IF(AND((O67="Pb"),(K67="Child (0-7 years)")),(VLOOKUP(F67,Pb!$A$2:$AV$103,22)),0))*E67</f>
        <v>0</v>
      </c>
      <c r="Z67" s="5">
        <f>(IF(AND((O67="Pb"),(K67="Adult (&gt; 15 years)")),(VLOOKUP(F67,Pb!$A$2:$AV$103,48)),0))*E67</f>
        <v>0</v>
      </c>
      <c r="AA67" s="5">
        <f>(IF(AND((O67="Hg"),(K67="Child (0-7 years)")),(VLOOKUP(S67,'Hg Values'!$A$1:$M$30,3)),0))*E67</f>
        <v>0</v>
      </c>
      <c r="AB67" s="5">
        <f>(IF(AND((O67="Hg"),(K67="Child (0-7 years)")),(VLOOKUP(S67,'Hg Values'!$A$1:$M$30,13)),0))*E67</f>
        <v>0</v>
      </c>
      <c r="AC67" s="5">
        <f>((IF(AND((O67="CA"),(K67="Adult (&gt; 15 years)")),(VLOOKUP(L67,CA_ingestion!A$1:J$78,7,0)),0))*((F67/1000000)*R67*70))/14</f>
        <v>0</v>
      </c>
      <c r="AD67" s="5">
        <f t="shared" si="11"/>
        <v>0</v>
      </c>
      <c r="AE67" s="5">
        <f>((IF(AND((O67="CA"),(K67="Adult (&gt; 15 years)")),(AD67*(VLOOKUP(L67,CA_ingestion!A$1:J$78,10,0))),0)))</f>
        <v>0</v>
      </c>
      <c r="AF67" s="5">
        <f t="shared" si="12"/>
        <v>0</v>
      </c>
      <c r="AG67" s="5">
        <f t="shared" si="13"/>
        <v>0</v>
      </c>
    </row>
    <row r="68" spans="1:33">
      <c r="A68" s="30"/>
      <c r="B68" s="30"/>
      <c r="C68" s="30"/>
      <c r="D68" s="29" t="s">
        <v>369</v>
      </c>
      <c r="E68" s="35">
        <f>VLOOKUP(D68,'List Data'!$A$100:$B$104,2,0)</f>
        <v>0</v>
      </c>
      <c r="F68" s="30"/>
      <c r="G68" s="30"/>
      <c r="H68" s="30"/>
      <c r="I68" s="26" t="str">
        <f>Summary!C$23</f>
        <v>Afghanistan</v>
      </c>
      <c r="J68" s="30"/>
      <c r="K68" s="30" t="s">
        <v>213</v>
      </c>
      <c r="L68" s="30" t="s">
        <v>213</v>
      </c>
      <c r="M68" s="37">
        <f>T68*Summary!$H$27</f>
        <v>0</v>
      </c>
      <c r="N68" s="37">
        <f>U68*Summary!$H$25</f>
        <v>0</v>
      </c>
      <c r="O68" s="5">
        <f>VLOOKUP(L68,'List Data'!A$2:C$94,3,0)</f>
        <v>0</v>
      </c>
      <c r="P68" s="5" t="str">
        <f>VLOOKUP(L68,'List Data'!A$2:B$94,2,0)</f>
        <v>--------</v>
      </c>
      <c r="Q68" s="5">
        <f t="shared" si="6"/>
        <v>10.7</v>
      </c>
      <c r="R68" s="5">
        <f t="shared" si="7"/>
        <v>50</v>
      </c>
      <c r="S68" s="5">
        <f t="shared" si="8"/>
        <v>0</v>
      </c>
      <c r="T68" s="5">
        <f t="shared" si="9"/>
        <v>0</v>
      </c>
      <c r="U68" s="5">
        <f t="shared" si="10"/>
        <v>0</v>
      </c>
      <c r="V68" s="5">
        <f>(IF(AND((O68="OP"),(K68="Child (0-7 years)")),VLOOKUP(($R68*(F68/1000000)),'OP Values'!$A$1:$Q$35,7),))*E68</f>
        <v>0</v>
      </c>
      <c r="W68" s="5">
        <f>(IF(O68="OP",VLOOKUP(($R68*(F68/1000000)),'OP Values'!$A$1:$Q$35,17),))*E68</f>
        <v>0</v>
      </c>
      <c r="X68" s="5">
        <f>(IF(AND((O68="Pb"),(K68="Child (0-7 years)")),(VLOOKUP(F68,Pb!$A$1:$AV$103,13)),0))*E68</f>
        <v>0</v>
      </c>
      <c r="Y68" s="5">
        <f>(IF(AND((O68="Pb"),(K68="Child (0-7 years)")),(VLOOKUP(F68,Pb!$A$2:$AV$103,22)),0))*E68</f>
        <v>0</v>
      </c>
      <c r="Z68" s="5">
        <f>(IF(AND((O68="Pb"),(K68="Adult (&gt; 15 years)")),(VLOOKUP(F68,Pb!$A$2:$AV$103,48)),0))*E68</f>
        <v>0</v>
      </c>
      <c r="AA68" s="5">
        <f>(IF(AND((O68="Hg"),(K68="Child (0-7 years)")),(VLOOKUP(S68,'Hg Values'!$A$1:$M$30,3)),0))*E68</f>
        <v>0</v>
      </c>
      <c r="AB68" s="5">
        <f>(IF(AND((O68="Hg"),(K68="Child (0-7 years)")),(VLOOKUP(S68,'Hg Values'!$A$1:$M$30,13)),0))*E68</f>
        <v>0</v>
      </c>
      <c r="AC68" s="5">
        <f>((IF(AND((O68="CA"),(K68="Adult (&gt; 15 years)")),(VLOOKUP(L68,CA_ingestion!A$1:J$78,7,0)),0))*((F68/1000000)*R68*70))/14</f>
        <v>0</v>
      </c>
      <c r="AD68" s="5">
        <f t="shared" si="11"/>
        <v>0</v>
      </c>
      <c r="AE68" s="5">
        <f>((IF(AND((O68="CA"),(K68="Adult (&gt; 15 years)")),(AD68*(VLOOKUP(L68,CA_ingestion!A$1:J$78,10,0))),0)))</f>
        <v>0</v>
      </c>
      <c r="AF68" s="5">
        <f t="shared" si="12"/>
        <v>0</v>
      </c>
      <c r="AG68" s="5">
        <f t="shared" si="13"/>
        <v>0</v>
      </c>
    </row>
    <row r="69" spans="1:33">
      <c r="A69" s="30"/>
      <c r="B69" s="30"/>
      <c r="C69" s="30"/>
      <c r="D69" s="29" t="s">
        <v>369</v>
      </c>
      <c r="E69" s="35">
        <f>VLOOKUP(D69,'List Data'!$A$100:$B$104,2,0)</f>
        <v>0</v>
      </c>
      <c r="F69" s="30"/>
      <c r="G69" s="30"/>
      <c r="H69" s="30"/>
      <c r="I69" s="26" t="str">
        <f>Summary!C$23</f>
        <v>Afghanistan</v>
      </c>
      <c r="J69" s="30"/>
      <c r="K69" s="30" t="s">
        <v>213</v>
      </c>
      <c r="L69" s="30" t="s">
        <v>213</v>
      </c>
      <c r="M69" s="37">
        <f>T69*Summary!$H$27</f>
        <v>0</v>
      </c>
      <c r="N69" s="37">
        <f>U69*Summary!$H$25</f>
        <v>0</v>
      </c>
      <c r="O69" s="5">
        <f>VLOOKUP(L69,'List Data'!A$2:C$94,3,0)</f>
        <v>0</v>
      </c>
      <c r="P69" s="5" t="str">
        <f>VLOOKUP(L69,'List Data'!A$2:B$94,2,0)</f>
        <v>--------</v>
      </c>
      <c r="Q69" s="5">
        <f t="shared" si="6"/>
        <v>10.7</v>
      </c>
      <c r="R69" s="5">
        <f t="shared" si="7"/>
        <v>50</v>
      </c>
      <c r="S69" s="5">
        <f t="shared" si="8"/>
        <v>0</v>
      </c>
      <c r="T69" s="5">
        <f t="shared" si="9"/>
        <v>0</v>
      </c>
      <c r="U69" s="5">
        <f t="shared" si="10"/>
        <v>0</v>
      </c>
      <c r="V69" s="5">
        <f>(IF(AND((O69="OP"),(K69="Child (0-7 years)")),VLOOKUP(($R69*(F69/1000000)),'OP Values'!$A$1:$Q$35,7),))*E69</f>
        <v>0</v>
      </c>
      <c r="W69" s="5">
        <f>(IF(O69="OP",VLOOKUP(($R69*(F69/1000000)),'OP Values'!$A$1:$Q$35,17),))*E69</f>
        <v>0</v>
      </c>
      <c r="X69" s="5">
        <f>(IF(AND((O69="Pb"),(K69="Child (0-7 years)")),(VLOOKUP(F69,Pb!$A$1:$AV$103,13)),0))*E69</f>
        <v>0</v>
      </c>
      <c r="Y69" s="5">
        <f>(IF(AND((O69="Pb"),(K69="Child (0-7 years)")),(VLOOKUP(F69,Pb!$A$2:$AV$103,22)),0))*E69</f>
        <v>0</v>
      </c>
      <c r="Z69" s="5">
        <f>(IF(AND((O69="Pb"),(K69="Adult (&gt; 15 years)")),(VLOOKUP(F69,Pb!$A$2:$AV$103,48)),0))*E69</f>
        <v>0</v>
      </c>
      <c r="AA69" s="5">
        <f>(IF(AND((O69="Hg"),(K69="Child (0-7 years)")),(VLOOKUP(S69,'Hg Values'!$A$1:$M$30,3)),0))*E69</f>
        <v>0</v>
      </c>
      <c r="AB69" s="5">
        <f>(IF(AND((O69="Hg"),(K69="Child (0-7 years)")),(VLOOKUP(S69,'Hg Values'!$A$1:$M$30,13)),0))*E69</f>
        <v>0</v>
      </c>
      <c r="AC69" s="5">
        <f>((IF(AND((O69="CA"),(K69="Adult (&gt; 15 years)")),(VLOOKUP(L69,CA_ingestion!A$1:J$78,7,0)),0))*((F69/1000000)*R69*70))/14</f>
        <v>0</v>
      </c>
      <c r="AD69" s="5">
        <f t="shared" si="11"/>
        <v>0</v>
      </c>
      <c r="AE69" s="5">
        <f>((IF(AND((O69="CA"),(K69="Adult (&gt; 15 years)")),(AD69*(VLOOKUP(L69,CA_ingestion!A$1:J$78,10,0))),0)))</f>
        <v>0</v>
      </c>
      <c r="AF69" s="5">
        <f t="shared" si="12"/>
        <v>0</v>
      </c>
      <c r="AG69" s="5">
        <f t="shared" si="13"/>
        <v>0</v>
      </c>
    </row>
    <row r="70" spans="1:33">
      <c r="A70" s="30"/>
      <c r="B70" s="30"/>
      <c r="C70" s="30"/>
      <c r="D70" s="29" t="s">
        <v>369</v>
      </c>
      <c r="E70" s="35">
        <f>VLOOKUP(D70,'List Data'!$A$100:$B$104,2,0)</f>
        <v>0</v>
      </c>
      <c r="F70" s="30"/>
      <c r="G70" s="30"/>
      <c r="H70" s="30"/>
      <c r="I70" s="26" t="str">
        <f>Summary!C$23</f>
        <v>Afghanistan</v>
      </c>
      <c r="J70" s="30"/>
      <c r="K70" s="30" t="s">
        <v>213</v>
      </c>
      <c r="L70" s="30" t="s">
        <v>213</v>
      </c>
      <c r="M70" s="37">
        <f>T70*Summary!$H$27</f>
        <v>0</v>
      </c>
      <c r="N70" s="37">
        <f>U70*Summary!$H$25</f>
        <v>0</v>
      </c>
      <c r="O70" s="5">
        <f>VLOOKUP(L70,'List Data'!A$2:C$94,3,0)</f>
        <v>0</v>
      </c>
      <c r="P70" s="5" t="str">
        <f>VLOOKUP(L70,'List Data'!A$2:B$94,2,0)</f>
        <v>--------</v>
      </c>
      <c r="Q70" s="5">
        <f t="shared" ref="Q70:Q105" si="14">F70*0.7+(10.7)</f>
        <v>10.7</v>
      </c>
      <c r="R70" s="5">
        <f t="shared" ref="R70:R105" si="15">IF(K70="Child (0-7 years)",135,50)</f>
        <v>50</v>
      </c>
      <c r="S70" s="5">
        <f t="shared" ref="S70:S105" si="16">(F70/1000000)*R70</f>
        <v>0</v>
      </c>
      <c r="T70" s="5">
        <f t="shared" ref="T70:T105" si="17">V70+X70+AA70</f>
        <v>0</v>
      </c>
      <c r="U70" s="5">
        <f t="shared" ref="U70:U105" si="18">W70+Y70+Z70+AB70+AG70</f>
        <v>0</v>
      </c>
      <c r="V70" s="5">
        <f>(IF(AND((O70="OP"),(K70="Child (0-7 years)")),VLOOKUP(($R70*(F70/1000000)),'OP Values'!$A$1:$Q$35,7),))*E70</f>
        <v>0</v>
      </c>
      <c r="W70" s="5">
        <f>(IF(O70="OP",VLOOKUP(($R70*(F70/1000000)),'OP Values'!$A$1:$Q$35,17),))*E70</f>
        <v>0</v>
      </c>
      <c r="X70" s="5">
        <f>(IF(AND((O70="Pb"),(K70="Child (0-7 years)")),(VLOOKUP(F70,Pb!$A$1:$AV$103,13)),0))*E70</f>
        <v>0</v>
      </c>
      <c r="Y70" s="5">
        <f>(IF(AND((O70="Pb"),(K70="Child (0-7 years)")),(VLOOKUP(F70,Pb!$A$2:$AV$103,22)),0))*E70</f>
        <v>0</v>
      </c>
      <c r="Z70" s="5">
        <f>(IF(AND((O70="Pb"),(K70="Adult (&gt; 15 years)")),(VLOOKUP(F70,Pb!$A$2:$AV$103,48)),0))*E70</f>
        <v>0</v>
      </c>
      <c r="AA70" s="5">
        <f>(IF(AND((O70="Hg"),(K70="Child (0-7 years)")),(VLOOKUP(S70,'Hg Values'!$A$1:$M$30,3)),0))*E70</f>
        <v>0</v>
      </c>
      <c r="AB70" s="5">
        <f>(IF(AND((O70="Hg"),(K70="Child (0-7 years)")),(VLOOKUP(S70,'Hg Values'!$A$1:$M$30,13)),0))*E70</f>
        <v>0</v>
      </c>
      <c r="AC70" s="5">
        <f>((IF(AND((O70="CA"),(K70="Adult (&gt; 15 years)")),(VLOOKUP(L70,CA_ingestion!A$1:J$78,7,0)),0))*((F70/1000000)*R70*70))/14</f>
        <v>0</v>
      </c>
      <c r="AD70" s="5">
        <f t="shared" ref="AD70:AD105" si="19">(IF(AC70&gt;1,1,AC70))*E70</f>
        <v>0</v>
      </c>
      <c r="AE70" s="5">
        <f>((IF(AND((O70="CA"),(K70="Adult (&gt; 15 years)")),(AD70*(VLOOKUP(L70,CA_ingestion!A$1:J$78,10,0))),0)))</f>
        <v>0</v>
      </c>
      <c r="AF70" s="5">
        <f t="shared" ref="AF70:AF105" si="20">AD70/2</f>
        <v>0</v>
      </c>
      <c r="AG70" s="5">
        <f t="shared" ref="AG70:AG105" si="21">AE70+AF70</f>
        <v>0</v>
      </c>
    </row>
    <row r="71" spans="1:33">
      <c r="A71" s="30"/>
      <c r="B71" s="30"/>
      <c r="C71" s="30"/>
      <c r="D71" s="29" t="s">
        <v>369</v>
      </c>
      <c r="E71" s="35">
        <f>VLOOKUP(D71,'List Data'!$A$100:$B$104,2,0)</f>
        <v>0</v>
      </c>
      <c r="F71" s="30"/>
      <c r="G71" s="30"/>
      <c r="H71" s="30"/>
      <c r="I71" s="26" t="str">
        <f>Summary!C$23</f>
        <v>Afghanistan</v>
      </c>
      <c r="J71" s="30"/>
      <c r="K71" s="30" t="s">
        <v>213</v>
      </c>
      <c r="L71" s="30" t="s">
        <v>213</v>
      </c>
      <c r="M71" s="37">
        <f>T71*Summary!$H$27</f>
        <v>0</v>
      </c>
      <c r="N71" s="37">
        <f>U71*Summary!$H$25</f>
        <v>0</v>
      </c>
      <c r="O71" s="5">
        <f>VLOOKUP(L71,'List Data'!A$2:C$94,3,0)</f>
        <v>0</v>
      </c>
      <c r="P71" s="5" t="str">
        <f>VLOOKUP(L71,'List Data'!A$2:B$94,2,0)</f>
        <v>--------</v>
      </c>
      <c r="Q71" s="5">
        <f t="shared" si="14"/>
        <v>10.7</v>
      </c>
      <c r="R71" s="5">
        <f t="shared" si="15"/>
        <v>50</v>
      </c>
      <c r="S71" s="5">
        <f t="shared" si="16"/>
        <v>0</v>
      </c>
      <c r="T71" s="5">
        <f t="shared" si="17"/>
        <v>0</v>
      </c>
      <c r="U71" s="5">
        <f t="shared" si="18"/>
        <v>0</v>
      </c>
      <c r="V71" s="5">
        <f>(IF(AND((O71="OP"),(K71="Child (0-7 years)")),VLOOKUP(($R71*(F71/1000000)),'OP Values'!$A$1:$Q$35,7),))*E71</f>
        <v>0</v>
      </c>
      <c r="W71" s="5">
        <f>(IF(O71="OP",VLOOKUP(($R71*(F71/1000000)),'OP Values'!$A$1:$Q$35,17),))*E71</f>
        <v>0</v>
      </c>
      <c r="X71" s="5">
        <f>(IF(AND((O71="Pb"),(K71="Child (0-7 years)")),(VLOOKUP(F71,Pb!$A$1:$AV$103,13)),0))*E71</f>
        <v>0</v>
      </c>
      <c r="Y71" s="5">
        <f>(IF(AND((O71="Pb"),(K71="Child (0-7 years)")),(VLOOKUP(F71,Pb!$A$2:$AV$103,22)),0))*E71</f>
        <v>0</v>
      </c>
      <c r="Z71" s="5">
        <f>(IF(AND((O71="Pb"),(K71="Adult (&gt; 15 years)")),(VLOOKUP(F71,Pb!$A$2:$AV$103,48)),0))*E71</f>
        <v>0</v>
      </c>
      <c r="AA71" s="5">
        <f>(IF(AND((O71="Hg"),(K71="Child (0-7 years)")),(VLOOKUP(S71,'Hg Values'!$A$1:$M$30,3)),0))*E71</f>
        <v>0</v>
      </c>
      <c r="AB71" s="5">
        <f>(IF(AND((O71="Hg"),(K71="Child (0-7 years)")),(VLOOKUP(S71,'Hg Values'!$A$1:$M$30,13)),0))*E71</f>
        <v>0</v>
      </c>
      <c r="AC71" s="5">
        <f>((IF(AND((O71="CA"),(K71="Adult (&gt; 15 years)")),(VLOOKUP(L71,CA_ingestion!A$1:J$78,7,0)),0))*((F71/1000000)*R71*70))/14</f>
        <v>0</v>
      </c>
      <c r="AD71" s="5">
        <f t="shared" si="19"/>
        <v>0</v>
      </c>
      <c r="AE71" s="5">
        <f>((IF(AND((O71="CA"),(K71="Adult (&gt; 15 years)")),(AD71*(VLOOKUP(L71,CA_ingestion!A$1:J$78,10,0))),0)))</f>
        <v>0</v>
      </c>
      <c r="AF71" s="5">
        <f t="shared" si="20"/>
        <v>0</v>
      </c>
      <c r="AG71" s="5">
        <f t="shared" si="21"/>
        <v>0</v>
      </c>
    </row>
    <row r="72" spans="1:33">
      <c r="A72" s="30"/>
      <c r="B72" s="30"/>
      <c r="C72" s="30"/>
      <c r="D72" s="29" t="s">
        <v>369</v>
      </c>
      <c r="E72" s="35">
        <f>VLOOKUP(D72,'List Data'!$A$100:$B$104,2,0)</f>
        <v>0</v>
      </c>
      <c r="F72" s="30"/>
      <c r="G72" s="30"/>
      <c r="H72" s="30"/>
      <c r="I72" s="26" t="str">
        <f>Summary!C$23</f>
        <v>Afghanistan</v>
      </c>
      <c r="J72" s="30"/>
      <c r="K72" s="30" t="s">
        <v>213</v>
      </c>
      <c r="L72" s="30" t="s">
        <v>213</v>
      </c>
      <c r="M72" s="37">
        <f>T72*Summary!$H$27</f>
        <v>0</v>
      </c>
      <c r="N72" s="37">
        <f>U72*Summary!$H$25</f>
        <v>0</v>
      </c>
      <c r="O72" s="5">
        <f>VLOOKUP(L72,'List Data'!A$2:C$94,3,0)</f>
        <v>0</v>
      </c>
      <c r="P72" s="5" t="str">
        <f>VLOOKUP(L72,'List Data'!A$2:B$94,2,0)</f>
        <v>--------</v>
      </c>
      <c r="Q72" s="5">
        <f t="shared" si="14"/>
        <v>10.7</v>
      </c>
      <c r="R72" s="5">
        <f t="shared" si="15"/>
        <v>50</v>
      </c>
      <c r="S72" s="5">
        <f t="shared" si="16"/>
        <v>0</v>
      </c>
      <c r="T72" s="5">
        <f t="shared" si="17"/>
        <v>0</v>
      </c>
      <c r="U72" s="5">
        <f t="shared" si="18"/>
        <v>0</v>
      </c>
      <c r="V72" s="5">
        <f>(IF(AND((O72="OP"),(K72="Child (0-7 years)")),VLOOKUP(($R72*(F72/1000000)),'OP Values'!$A$1:$Q$35,7),))*E72</f>
        <v>0</v>
      </c>
      <c r="W72" s="5">
        <f>(IF(O72="OP",VLOOKUP(($R72*(F72/1000000)),'OP Values'!$A$1:$Q$35,17),))*E72</f>
        <v>0</v>
      </c>
      <c r="X72" s="5">
        <f>(IF(AND((O72="Pb"),(K72="Child (0-7 years)")),(VLOOKUP(F72,Pb!$A$1:$AV$103,13)),0))*E72</f>
        <v>0</v>
      </c>
      <c r="Y72" s="5">
        <f>(IF(AND((O72="Pb"),(K72="Child (0-7 years)")),(VLOOKUP(F72,Pb!$A$2:$AV$103,22)),0))*E72</f>
        <v>0</v>
      </c>
      <c r="Z72" s="5">
        <f>(IF(AND((O72="Pb"),(K72="Adult (&gt; 15 years)")),(VLOOKUP(F72,Pb!$A$2:$AV$103,48)),0))*E72</f>
        <v>0</v>
      </c>
      <c r="AA72" s="5">
        <f>(IF(AND((O72="Hg"),(K72="Child (0-7 years)")),(VLOOKUP(S72,'Hg Values'!$A$1:$M$30,3)),0))*E72</f>
        <v>0</v>
      </c>
      <c r="AB72" s="5">
        <f>(IF(AND((O72="Hg"),(K72="Child (0-7 years)")),(VLOOKUP(S72,'Hg Values'!$A$1:$M$30,13)),0))*E72</f>
        <v>0</v>
      </c>
      <c r="AC72" s="5">
        <f>((IF(AND((O72="CA"),(K72="Adult (&gt; 15 years)")),(VLOOKUP(L72,CA_ingestion!A$1:J$78,7,0)),0))*((F72/1000000)*R72*70))/14</f>
        <v>0</v>
      </c>
      <c r="AD72" s="5">
        <f t="shared" si="19"/>
        <v>0</v>
      </c>
      <c r="AE72" s="5">
        <f>((IF(AND((O72="CA"),(K72="Adult (&gt; 15 years)")),(AD72*(VLOOKUP(L72,CA_ingestion!A$1:J$78,10,0))),0)))</f>
        <v>0</v>
      </c>
      <c r="AF72" s="5">
        <f t="shared" si="20"/>
        <v>0</v>
      </c>
      <c r="AG72" s="5">
        <f t="shared" si="21"/>
        <v>0</v>
      </c>
    </row>
    <row r="73" spans="1:33">
      <c r="A73" s="30"/>
      <c r="B73" s="30"/>
      <c r="C73" s="30"/>
      <c r="D73" s="29" t="s">
        <v>369</v>
      </c>
      <c r="E73" s="35">
        <f>VLOOKUP(D73,'List Data'!$A$100:$B$104,2,0)</f>
        <v>0</v>
      </c>
      <c r="F73" s="30"/>
      <c r="G73" s="30"/>
      <c r="H73" s="30"/>
      <c r="I73" s="26" t="str">
        <f>Summary!C$23</f>
        <v>Afghanistan</v>
      </c>
      <c r="J73" s="30"/>
      <c r="K73" s="30" t="s">
        <v>213</v>
      </c>
      <c r="L73" s="30" t="s">
        <v>213</v>
      </c>
      <c r="M73" s="37">
        <f>T73*Summary!$H$27</f>
        <v>0</v>
      </c>
      <c r="N73" s="37">
        <f>U73*Summary!$H$25</f>
        <v>0</v>
      </c>
      <c r="O73" s="5">
        <f>VLOOKUP(L73,'List Data'!A$2:C$94,3,0)</f>
        <v>0</v>
      </c>
      <c r="P73" s="5" t="str">
        <f>VLOOKUP(L73,'List Data'!A$2:B$94,2,0)</f>
        <v>--------</v>
      </c>
      <c r="Q73" s="5">
        <f t="shared" si="14"/>
        <v>10.7</v>
      </c>
      <c r="R73" s="5">
        <f t="shared" si="15"/>
        <v>50</v>
      </c>
      <c r="S73" s="5">
        <f t="shared" si="16"/>
        <v>0</v>
      </c>
      <c r="T73" s="5">
        <f t="shared" si="17"/>
        <v>0</v>
      </c>
      <c r="U73" s="5">
        <f t="shared" si="18"/>
        <v>0</v>
      </c>
      <c r="V73" s="5">
        <f>(IF(AND((O73="OP"),(K73="Child (0-7 years)")),VLOOKUP(($R73*(F73/1000000)),'OP Values'!$A$1:$Q$35,7),))*E73</f>
        <v>0</v>
      </c>
      <c r="W73" s="5">
        <f>(IF(O73="OP",VLOOKUP(($R73*(F73/1000000)),'OP Values'!$A$1:$Q$35,17),))*E73</f>
        <v>0</v>
      </c>
      <c r="X73" s="5">
        <f>(IF(AND((O73="Pb"),(K73="Child (0-7 years)")),(VLOOKUP(F73,Pb!$A$1:$AV$103,13)),0))*E73</f>
        <v>0</v>
      </c>
      <c r="Y73" s="5">
        <f>(IF(AND((O73="Pb"),(K73="Child (0-7 years)")),(VLOOKUP(F73,Pb!$A$2:$AV$103,22)),0))*E73</f>
        <v>0</v>
      </c>
      <c r="Z73" s="5">
        <f>(IF(AND((O73="Pb"),(K73="Adult (&gt; 15 years)")),(VLOOKUP(F73,Pb!$A$2:$AV$103,48)),0))*E73</f>
        <v>0</v>
      </c>
      <c r="AA73" s="5">
        <f>(IF(AND((O73="Hg"),(K73="Child (0-7 years)")),(VLOOKUP(S73,'Hg Values'!$A$1:$M$30,3)),0))*E73</f>
        <v>0</v>
      </c>
      <c r="AB73" s="5">
        <f>(IF(AND((O73="Hg"),(K73="Child (0-7 years)")),(VLOOKUP(S73,'Hg Values'!$A$1:$M$30,13)),0))*E73</f>
        <v>0</v>
      </c>
      <c r="AC73" s="5">
        <f>((IF(AND((O73="CA"),(K73="Adult (&gt; 15 years)")),(VLOOKUP(L73,CA_ingestion!A$1:J$78,7,0)),0))*((F73/1000000)*R73*70))/14</f>
        <v>0</v>
      </c>
      <c r="AD73" s="5">
        <f t="shared" si="19"/>
        <v>0</v>
      </c>
      <c r="AE73" s="5">
        <f>((IF(AND((O73="CA"),(K73="Adult (&gt; 15 years)")),(AD73*(VLOOKUP(L73,CA_ingestion!A$1:J$78,10,0))),0)))</f>
        <v>0</v>
      </c>
      <c r="AF73" s="5">
        <f t="shared" si="20"/>
        <v>0</v>
      </c>
      <c r="AG73" s="5">
        <f t="shared" si="21"/>
        <v>0</v>
      </c>
    </row>
    <row r="74" spans="1:33">
      <c r="A74" s="30"/>
      <c r="B74" s="30"/>
      <c r="C74" s="30"/>
      <c r="D74" s="29" t="s">
        <v>369</v>
      </c>
      <c r="E74" s="35">
        <f>VLOOKUP(D74,'List Data'!$A$100:$B$104,2,0)</f>
        <v>0</v>
      </c>
      <c r="F74" s="30"/>
      <c r="G74" s="30"/>
      <c r="H74" s="30"/>
      <c r="I74" s="26" t="str">
        <f>Summary!C$23</f>
        <v>Afghanistan</v>
      </c>
      <c r="J74" s="30"/>
      <c r="K74" s="30" t="s">
        <v>213</v>
      </c>
      <c r="L74" s="30" t="s">
        <v>213</v>
      </c>
      <c r="M74" s="37">
        <f>T74*Summary!$H$27</f>
        <v>0</v>
      </c>
      <c r="N74" s="37">
        <f>U74*Summary!$H$25</f>
        <v>0</v>
      </c>
      <c r="O74" s="5">
        <f>VLOOKUP(L74,'List Data'!A$2:C$94,3,0)</f>
        <v>0</v>
      </c>
      <c r="P74" s="5" t="str">
        <f>VLOOKUP(L74,'List Data'!A$2:B$94,2,0)</f>
        <v>--------</v>
      </c>
      <c r="Q74" s="5">
        <f t="shared" si="14"/>
        <v>10.7</v>
      </c>
      <c r="R74" s="5">
        <f t="shared" si="15"/>
        <v>50</v>
      </c>
      <c r="S74" s="5">
        <f t="shared" si="16"/>
        <v>0</v>
      </c>
      <c r="T74" s="5">
        <f t="shared" si="17"/>
        <v>0</v>
      </c>
      <c r="U74" s="5">
        <f t="shared" si="18"/>
        <v>0</v>
      </c>
      <c r="V74" s="5">
        <f>(IF(AND((O74="OP"),(K74="Child (0-7 years)")),VLOOKUP(($R74*(F74/1000000)),'OP Values'!$A$1:$Q$35,7),))*E74</f>
        <v>0</v>
      </c>
      <c r="W74" s="5">
        <f>(IF(O74="OP",VLOOKUP(($R74*(F74/1000000)),'OP Values'!$A$1:$Q$35,17),))*E74</f>
        <v>0</v>
      </c>
      <c r="X74" s="5">
        <f>(IF(AND((O74="Pb"),(K74="Child (0-7 years)")),(VLOOKUP(F74,Pb!$A$1:$AV$103,13)),0))*E74</f>
        <v>0</v>
      </c>
      <c r="Y74" s="5">
        <f>(IF(AND((O74="Pb"),(K74="Child (0-7 years)")),(VLOOKUP(F74,Pb!$A$2:$AV$103,22)),0))*E74</f>
        <v>0</v>
      </c>
      <c r="Z74" s="5">
        <f>(IF(AND((O74="Pb"),(K74="Adult (&gt; 15 years)")),(VLOOKUP(F74,Pb!$A$2:$AV$103,48)),0))*E74</f>
        <v>0</v>
      </c>
      <c r="AA74" s="5">
        <f>(IF(AND((O74="Hg"),(K74="Child (0-7 years)")),(VLOOKUP(S74,'Hg Values'!$A$1:$M$30,3)),0))*E74</f>
        <v>0</v>
      </c>
      <c r="AB74" s="5">
        <f>(IF(AND((O74="Hg"),(K74="Child (0-7 years)")),(VLOOKUP(S74,'Hg Values'!$A$1:$M$30,13)),0))*E74</f>
        <v>0</v>
      </c>
      <c r="AC74" s="5">
        <f>((IF(AND((O74="CA"),(K74="Adult (&gt; 15 years)")),(VLOOKUP(L74,CA_ingestion!A$1:J$78,7,0)),0))*((F74/1000000)*R74*70))/14</f>
        <v>0</v>
      </c>
      <c r="AD74" s="5">
        <f t="shared" si="19"/>
        <v>0</v>
      </c>
      <c r="AE74" s="5">
        <f>((IF(AND((O74="CA"),(K74="Adult (&gt; 15 years)")),(AD74*(VLOOKUP(L74,CA_ingestion!A$1:J$78,10,0))),0)))</f>
        <v>0</v>
      </c>
      <c r="AF74" s="5">
        <f t="shared" si="20"/>
        <v>0</v>
      </c>
      <c r="AG74" s="5">
        <f t="shared" si="21"/>
        <v>0</v>
      </c>
    </row>
    <row r="75" spans="1:33">
      <c r="A75" s="30"/>
      <c r="B75" s="30"/>
      <c r="C75" s="30"/>
      <c r="D75" s="29" t="s">
        <v>369</v>
      </c>
      <c r="E75" s="35">
        <f>VLOOKUP(D75,'List Data'!$A$100:$B$104,2,0)</f>
        <v>0</v>
      </c>
      <c r="F75" s="30"/>
      <c r="G75" s="30"/>
      <c r="H75" s="30"/>
      <c r="I75" s="26" t="str">
        <f>Summary!C$23</f>
        <v>Afghanistan</v>
      </c>
      <c r="J75" s="30"/>
      <c r="K75" s="30" t="s">
        <v>213</v>
      </c>
      <c r="L75" s="30" t="s">
        <v>213</v>
      </c>
      <c r="M75" s="37">
        <f>T75*Summary!$H$27</f>
        <v>0</v>
      </c>
      <c r="N75" s="37">
        <f>U75*Summary!$H$25</f>
        <v>0</v>
      </c>
      <c r="O75" s="5">
        <f>VLOOKUP(L75,'List Data'!A$2:C$94,3,0)</f>
        <v>0</v>
      </c>
      <c r="P75" s="5" t="str">
        <f>VLOOKUP(L75,'List Data'!A$2:B$94,2,0)</f>
        <v>--------</v>
      </c>
      <c r="Q75" s="5">
        <f t="shared" si="14"/>
        <v>10.7</v>
      </c>
      <c r="R75" s="5">
        <f t="shared" si="15"/>
        <v>50</v>
      </c>
      <c r="S75" s="5">
        <f t="shared" si="16"/>
        <v>0</v>
      </c>
      <c r="T75" s="5">
        <f t="shared" si="17"/>
        <v>0</v>
      </c>
      <c r="U75" s="5">
        <f t="shared" si="18"/>
        <v>0</v>
      </c>
      <c r="V75" s="5">
        <f>(IF(AND((O75="OP"),(K75="Child (0-7 years)")),VLOOKUP(($R75*(F75/1000000)),'OP Values'!$A$1:$Q$35,7),))*E75</f>
        <v>0</v>
      </c>
      <c r="W75" s="5">
        <f>(IF(O75="OP",VLOOKUP(($R75*(F75/1000000)),'OP Values'!$A$1:$Q$35,17),))*E75</f>
        <v>0</v>
      </c>
      <c r="X75" s="5">
        <f>(IF(AND((O75="Pb"),(K75="Child (0-7 years)")),(VLOOKUP(F75,Pb!$A$1:$AV$103,13)),0))*E75</f>
        <v>0</v>
      </c>
      <c r="Y75" s="5">
        <f>(IF(AND((O75="Pb"),(K75="Child (0-7 years)")),(VLOOKUP(F75,Pb!$A$2:$AV$103,22)),0))*E75</f>
        <v>0</v>
      </c>
      <c r="Z75" s="5">
        <f>(IF(AND((O75="Pb"),(K75="Adult (&gt; 15 years)")),(VLOOKUP(F75,Pb!$A$2:$AV$103,48)),0))*E75</f>
        <v>0</v>
      </c>
      <c r="AA75" s="5">
        <f>(IF(AND((O75="Hg"),(K75="Child (0-7 years)")),(VLOOKUP(S75,'Hg Values'!$A$1:$M$30,3)),0))*E75</f>
        <v>0</v>
      </c>
      <c r="AB75" s="5">
        <f>(IF(AND((O75="Hg"),(K75="Child (0-7 years)")),(VLOOKUP(S75,'Hg Values'!$A$1:$M$30,13)),0))*E75</f>
        <v>0</v>
      </c>
      <c r="AC75" s="5">
        <f>((IF(AND((O75="CA"),(K75="Adult (&gt; 15 years)")),(VLOOKUP(L75,CA_ingestion!A$1:J$78,7,0)),0))*((F75/1000000)*R75*70))/14</f>
        <v>0</v>
      </c>
      <c r="AD75" s="5">
        <f t="shared" si="19"/>
        <v>0</v>
      </c>
      <c r="AE75" s="5">
        <f>((IF(AND((O75="CA"),(K75="Adult (&gt; 15 years)")),(AD75*(VLOOKUP(L75,CA_ingestion!A$1:J$78,10,0))),0)))</f>
        <v>0</v>
      </c>
      <c r="AF75" s="5">
        <f t="shared" si="20"/>
        <v>0</v>
      </c>
      <c r="AG75" s="5">
        <f t="shared" si="21"/>
        <v>0</v>
      </c>
    </row>
    <row r="76" spans="1:33">
      <c r="A76" s="30"/>
      <c r="B76" s="30"/>
      <c r="C76" s="30"/>
      <c r="D76" s="29" t="s">
        <v>369</v>
      </c>
      <c r="E76" s="35">
        <f>VLOOKUP(D76,'List Data'!$A$100:$B$104,2,0)</f>
        <v>0</v>
      </c>
      <c r="F76" s="30"/>
      <c r="G76" s="30"/>
      <c r="H76" s="30"/>
      <c r="I76" s="26" t="str">
        <f>Summary!C$23</f>
        <v>Afghanistan</v>
      </c>
      <c r="J76" s="30"/>
      <c r="K76" s="30" t="s">
        <v>213</v>
      </c>
      <c r="L76" s="30" t="s">
        <v>213</v>
      </c>
      <c r="M76" s="37">
        <f>T76*Summary!$H$27</f>
        <v>0</v>
      </c>
      <c r="N76" s="37">
        <f>U76*Summary!$H$25</f>
        <v>0</v>
      </c>
      <c r="O76" s="5">
        <f>VLOOKUP(L76,'List Data'!A$2:C$94,3,0)</f>
        <v>0</v>
      </c>
      <c r="P76" s="5" t="str">
        <f>VLOOKUP(L76,'List Data'!A$2:B$94,2,0)</f>
        <v>--------</v>
      </c>
      <c r="Q76" s="5">
        <f t="shared" si="14"/>
        <v>10.7</v>
      </c>
      <c r="R76" s="5">
        <f t="shared" si="15"/>
        <v>50</v>
      </c>
      <c r="S76" s="5">
        <f t="shared" si="16"/>
        <v>0</v>
      </c>
      <c r="T76" s="5">
        <f t="shared" si="17"/>
        <v>0</v>
      </c>
      <c r="U76" s="5">
        <f t="shared" si="18"/>
        <v>0</v>
      </c>
      <c r="V76" s="5">
        <f>(IF(AND((O76="OP"),(K76="Child (0-7 years)")),VLOOKUP(($R76*(F76/1000000)),'OP Values'!$A$1:$Q$35,7),))*E76</f>
        <v>0</v>
      </c>
      <c r="W76" s="5">
        <f>(IF(O76="OP",VLOOKUP(($R76*(F76/1000000)),'OP Values'!$A$1:$Q$35,17),))*E76</f>
        <v>0</v>
      </c>
      <c r="X76" s="5">
        <f>(IF(AND((O76="Pb"),(K76="Child (0-7 years)")),(VLOOKUP(F76,Pb!$A$1:$AV$103,13)),0))*E76</f>
        <v>0</v>
      </c>
      <c r="Y76" s="5">
        <f>(IF(AND((O76="Pb"),(K76="Child (0-7 years)")),(VLOOKUP(F76,Pb!$A$2:$AV$103,22)),0))*E76</f>
        <v>0</v>
      </c>
      <c r="Z76" s="5">
        <f>(IF(AND((O76="Pb"),(K76="Adult (&gt; 15 years)")),(VLOOKUP(F76,Pb!$A$2:$AV$103,48)),0))*E76</f>
        <v>0</v>
      </c>
      <c r="AA76" s="5">
        <f>(IF(AND((O76="Hg"),(K76="Child (0-7 years)")),(VLOOKUP(S76,'Hg Values'!$A$1:$M$30,3)),0))*E76</f>
        <v>0</v>
      </c>
      <c r="AB76" s="5">
        <f>(IF(AND((O76="Hg"),(K76="Child (0-7 years)")),(VLOOKUP(S76,'Hg Values'!$A$1:$M$30,13)),0))*E76</f>
        <v>0</v>
      </c>
      <c r="AC76" s="5">
        <f>((IF(AND((O76="CA"),(K76="Adult (&gt; 15 years)")),(VLOOKUP(L76,CA_ingestion!A$1:J$78,7,0)),0))*((F76/1000000)*R76*70))/14</f>
        <v>0</v>
      </c>
      <c r="AD76" s="5">
        <f t="shared" si="19"/>
        <v>0</v>
      </c>
      <c r="AE76" s="5">
        <f>((IF(AND((O76="CA"),(K76="Adult (&gt; 15 years)")),(AD76*(VLOOKUP(L76,CA_ingestion!A$1:J$78,10,0))),0)))</f>
        <v>0</v>
      </c>
      <c r="AF76" s="5">
        <f t="shared" si="20"/>
        <v>0</v>
      </c>
      <c r="AG76" s="5">
        <f t="shared" si="21"/>
        <v>0</v>
      </c>
    </row>
    <row r="77" spans="1:33">
      <c r="A77" s="30"/>
      <c r="B77" s="30"/>
      <c r="C77" s="30"/>
      <c r="D77" s="29" t="s">
        <v>369</v>
      </c>
      <c r="E77" s="35">
        <f>VLOOKUP(D77,'List Data'!$A$100:$B$104,2,0)</f>
        <v>0</v>
      </c>
      <c r="F77" s="30"/>
      <c r="G77" s="30"/>
      <c r="H77" s="30"/>
      <c r="I77" s="26" t="str">
        <f>Summary!C$23</f>
        <v>Afghanistan</v>
      </c>
      <c r="J77" s="30"/>
      <c r="K77" s="30" t="s">
        <v>213</v>
      </c>
      <c r="L77" s="30" t="s">
        <v>213</v>
      </c>
      <c r="M77" s="37">
        <f>T77*Summary!$H$27</f>
        <v>0</v>
      </c>
      <c r="N77" s="37">
        <f>U77*Summary!$H$25</f>
        <v>0</v>
      </c>
      <c r="O77" s="5">
        <f>VLOOKUP(L77,'List Data'!A$2:C$94,3,0)</f>
        <v>0</v>
      </c>
      <c r="P77" s="5" t="str">
        <f>VLOOKUP(L77,'List Data'!A$2:B$94,2,0)</f>
        <v>--------</v>
      </c>
      <c r="Q77" s="5">
        <f t="shared" si="14"/>
        <v>10.7</v>
      </c>
      <c r="R77" s="5">
        <f t="shared" si="15"/>
        <v>50</v>
      </c>
      <c r="S77" s="5">
        <f t="shared" si="16"/>
        <v>0</v>
      </c>
      <c r="T77" s="5">
        <f t="shared" si="17"/>
        <v>0</v>
      </c>
      <c r="U77" s="5">
        <f t="shared" si="18"/>
        <v>0</v>
      </c>
      <c r="V77" s="5">
        <f>(IF(AND((O77="OP"),(K77="Child (0-7 years)")),VLOOKUP(($R77*(F77/1000000)),'OP Values'!$A$1:$Q$35,7),))*E77</f>
        <v>0</v>
      </c>
      <c r="W77" s="5">
        <f>(IF(O77="OP",VLOOKUP(($R77*(F77/1000000)),'OP Values'!$A$1:$Q$35,17),))*E77</f>
        <v>0</v>
      </c>
      <c r="X77" s="5">
        <f>(IF(AND((O77="Pb"),(K77="Child (0-7 years)")),(VLOOKUP(F77,Pb!$A$1:$AV$103,13)),0))*E77</f>
        <v>0</v>
      </c>
      <c r="Y77" s="5">
        <f>(IF(AND((O77="Pb"),(K77="Child (0-7 years)")),(VLOOKUP(F77,Pb!$A$2:$AV$103,22)),0))*E77</f>
        <v>0</v>
      </c>
      <c r="Z77" s="5">
        <f>(IF(AND((O77="Pb"),(K77="Adult (&gt; 15 years)")),(VLOOKUP(F77,Pb!$A$2:$AV$103,48)),0))*E77</f>
        <v>0</v>
      </c>
      <c r="AA77" s="5">
        <f>(IF(AND((O77="Hg"),(K77="Child (0-7 years)")),(VLOOKUP(S77,'Hg Values'!$A$1:$M$30,3)),0))*E77</f>
        <v>0</v>
      </c>
      <c r="AB77" s="5">
        <f>(IF(AND((O77="Hg"),(K77="Child (0-7 years)")),(VLOOKUP(S77,'Hg Values'!$A$1:$M$30,13)),0))*E77</f>
        <v>0</v>
      </c>
      <c r="AC77" s="5">
        <f>((IF(AND((O77="CA"),(K77="Adult (&gt; 15 years)")),(VLOOKUP(L77,CA_ingestion!A$1:J$78,7,0)),0))*((F77/1000000)*R77*70))/14</f>
        <v>0</v>
      </c>
      <c r="AD77" s="5">
        <f t="shared" si="19"/>
        <v>0</v>
      </c>
      <c r="AE77" s="5">
        <f>((IF(AND((O77="CA"),(K77="Adult (&gt; 15 years)")),(AD77*(VLOOKUP(L77,CA_ingestion!A$1:J$78,10,0))),0)))</f>
        <v>0</v>
      </c>
      <c r="AF77" s="5">
        <f t="shared" si="20"/>
        <v>0</v>
      </c>
      <c r="AG77" s="5">
        <f t="shared" si="21"/>
        <v>0</v>
      </c>
    </row>
    <row r="78" spans="1:33">
      <c r="A78" s="30"/>
      <c r="B78" s="30"/>
      <c r="C78" s="30"/>
      <c r="D78" s="29" t="s">
        <v>369</v>
      </c>
      <c r="E78" s="35">
        <f>VLOOKUP(D78,'List Data'!$A$100:$B$104,2,0)</f>
        <v>0</v>
      </c>
      <c r="F78" s="30"/>
      <c r="G78" s="30"/>
      <c r="H78" s="30"/>
      <c r="I78" s="26" t="str">
        <f>Summary!C$23</f>
        <v>Afghanistan</v>
      </c>
      <c r="J78" s="30"/>
      <c r="K78" s="30" t="s">
        <v>213</v>
      </c>
      <c r="L78" s="30" t="s">
        <v>213</v>
      </c>
      <c r="M78" s="37">
        <f>T78*Summary!$H$27</f>
        <v>0</v>
      </c>
      <c r="N78" s="37">
        <f>U78*Summary!$H$25</f>
        <v>0</v>
      </c>
      <c r="O78" s="5">
        <f>VLOOKUP(L78,'List Data'!A$2:C$94,3,0)</f>
        <v>0</v>
      </c>
      <c r="P78" s="5" t="str">
        <f>VLOOKUP(L78,'List Data'!A$2:B$94,2,0)</f>
        <v>--------</v>
      </c>
      <c r="Q78" s="5">
        <f t="shared" si="14"/>
        <v>10.7</v>
      </c>
      <c r="R78" s="5">
        <f t="shared" si="15"/>
        <v>50</v>
      </c>
      <c r="S78" s="5">
        <f t="shared" si="16"/>
        <v>0</v>
      </c>
      <c r="T78" s="5">
        <f t="shared" si="17"/>
        <v>0</v>
      </c>
      <c r="U78" s="5">
        <f t="shared" si="18"/>
        <v>0</v>
      </c>
      <c r="V78" s="5">
        <f>(IF(AND((O78="OP"),(K78="Child (0-7 years)")),VLOOKUP(($R78*(F78/1000000)),'OP Values'!$A$1:$Q$35,7),))*E78</f>
        <v>0</v>
      </c>
      <c r="W78" s="5">
        <f>(IF(O78="OP",VLOOKUP(($R78*(F78/1000000)),'OP Values'!$A$1:$Q$35,17),))*E78</f>
        <v>0</v>
      </c>
      <c r="X78" s="5">
        <f>(IF(AND((O78="Pb"),(K78="Child (0-7 years)")),(VLOOKUP(F78,Pb!$A$1:$AV$103,13)),0))*E78</f>
        <v>0</v>
      </c>
      <c r="Y78" s="5">
        <f>(IF(AND((O78="Pb"),(K78="Child (0-7 years)")),(VLOOKUP(F78,Pb!$A$2:$AV$103,22)),0))*E78</f>
        <v>0</v>
      </c>
      <c r="Z78" s="5">
        <f>(IF(AND((O78="Pb"),(K78="Adult (&gt; 15 years)")),(VLOOKUP(F78,Pb!$A$2:$AV$103,48)),0))*E78</f>
        <v>0</v>
      </c>
      <c r="AA78" s="5">
        <f>(IF(AND((O78="Hg"),(K78="Child (0-7 years)")),(VLOOKUP(S78,'Hg Values'!$A$1:$M$30,3)),0))*E78</f>
        <v>0</v>
      </c>
      <c r="AB78" s="5">
        <f>(IF(AND((O78="Hg"),(K78="Child (0-7 years)")),(VLOOKUP(S78,'Hg Values'!$A$1:$M$30,13)),0))*E78</f>
        <v>0</v>
      </c>
      <c r="AC78" s="5">
        <f>((IF(AND((O78="CA"),(K78="Adult (&gt; 15 years)")),(VLOOKUP(L78,CA_ingestion!A$1:J$78,7,0)),0))*((F78/1000000)*R78*70))/14</f>
        <v>0</v>
      </c>
      <c r="AD78" s="5">
        <f t="shared" si="19"/>
        <v>0</v>
      </c>
      <c r="AE78" s="5">
        <f>((IF(AND((O78="CA"),(K78="Adult (&gt; 15 years)")),(AD78*(VLOOKUP(L78,CA_ingestion!A$1:J$78,10,0))),0)))</f>
        <v>0</v>
      </c>
      <c r="AF78" s="5">
        <f t="shared" si="20"/>
        <v>0</v>
      </c>
      <c r="AG78" s="5">
        <f t="shared" si="21"/>
        <v>0</v>
      </c>
    </row>
    <row r="79" spans="1:33">
      <c r="A79" s="30"/>
      <c r="B79" s="30"/>
      <c r="C79" s="30"/>
      <c r="D79" s="29" t="s">
        <v>369</v>
      </c>
      <c r="E79" s="35">
        <f>VLOOKUP(D79,'List Data'!$A$100:$B$104,2,0)</f>
        <v>0</v>
      </c>
      <c r="F79" s="30"/>
      <c r="G79" s="30"/>
      <c r="H79" s="30"/>
      <c r="I79" s="26" t="str">
        <f>Summary!C$23</f>
        <v>Afghanistan</v>
      </c>
      <c r="J79" s="30"/>
      <c r="K79" s="30" t="s">
        <v>213</v>
      </c>
      <c r="L79" s="30" t="s">
        <v>213</v>
      </c>
      <c r="M79" s="37">
        <f>T79*Summary!$H$27</f>
        <v>0</v>
      </c>
      <c r="N79" s="37">
        <f>U79*Summary!$H$25</f>
        <v>0</v>
      </c>
      <c r="O79" s="5">
        <f>VLOOKUP(L79,'List Data'!A$2:C$94,3,0)</f>
        <v>0</v>
      </c>
      <c r="P79" s="5" t="str">
        <f>VLOOKUP(L79,'List Data'!A$2:B$94,2,0)</f>
        <v>--------</v>
      </c>
      <c r="Q79" s="5">
        <f t="shared" si="14"/>
        <v>10.7</v>
      </c>
      <c r="R79" s="5">
        <f t="shared" si="15"/>
        <v>50</v>
      </c>
      <c r="S79" s="5">
        <f t="shared" si="16"/>
        <v>0</v>
      </c>
      <c r="T79" s="5">
        <f t="shared" si="17"/>
        <v>0</v>
      </c>
      <c r="U79" s="5">
        <f t="shared" si="18"/>
        <v>0</v>
      </c>
      <c r="V79" s="5">
        <f>(IF(AND((O79="OP"),(K79="Child (0-7 years)")),VLOOKUP(($R79*(F79/1000000)),'OP Values'!$A$1:$Q$35,7),))*E79</f>
        <v>0</v>
      </c>
      <c r="W79" s="5">
        <f>(IF(O79="OP",VLOOKUP(($R79*(F79/1000000)),'OP Values'!$A$1:$Q$35,17),))*E79</f>
        <v>0</v>
      </c>
      <c r="X79" s="5">
        <f>(IF(AND((O79="Pb"),(K79="Child (0-7 years)")),(VLOOKUP(F79,Pb!$A$1:$AV$103,13)),0))*E79</f>
        <v>0</v>
      </c>
      <c r="Y79" s="5">
        <f>(IF(AND((O79="Pb"),(K79="Child (0-7 years)")),(VLOOKUP(F79,Pb!$A$2:$AV$103,22)),0))*E79</f>
        <v>0</v>
      </c>
      <c r="Z79" s="5">
        <f>(IF(AND((O79="Pb"),(K79="Adult (&gt; 15 years)")),(VLOOKUP(F79,Pb!$A$2:$AV$103,48)),0))*E79</f>
        <v>0</v>
      </c>
      <c r="AA79" s="5">
        <f>(IF(AND((O79="Hg"),(K79="Child (0-7 years)")),(VLOOKUP(S79,'Hg Values'!$A$1:$M$30,3)),0))*E79</f>
        <v>0</v>
      </c>
      <c r="AB79" s="5">
        <f>(IF(AND((O79="Hg"),(K79="Child (0-7 years)")),(VLOOKUP(S79,'Hg Values'!$A$1:$M$30,13)),0))*E79</f>
        <v>0</v>
      </c>
      <c r="AC79" s="5">
        <f>((IF(AND((O79="CA"),(K79="Adult (&gt; 15 years)")),(VLOOKUP(L79,CA_ingestion!A$1:J$78,7,0)),0))*((F79/1000000)*R79*70))/14</f>
        <v>0</v>
      </c>
      <c r="AD79" s="5">
        <f t="shared" si="19"/>
        <v>0</v>
      </c>
      <c r="AE79" s="5">
        <f>((IF(AND((O79="CA"),(K79="Adult (&gt; 15 years)")),(AD79*(VLOOKUP(L79,CA_ingestion!A$1:J$78,10,0))),0)))</f>
        <v>0</v>
      </c>
      <c r="AF79" s="5">
        <f t="shared" si="20"/>
        <v>0</v>
      </c>
      <c r="AG79" s="5">
        <f t="shared" si="21"/>
        <v>0</v>
      </c>
    </row>
    <row r="80" spans="1:33">
      <c r="A80" s="30"/>
      <c r="B80" s="30"/>
      <c r="C80" s="30"/>
      <c r="D80" s="29" t="s">
        <v>369</v>
      </c>
      <c r="E80" s="35">
        <f>VLOOKUP(D80,'List Data'!$A$100:$B$104,2,0)</f>
        <v>0</v>
      </c>
      <c r="F80" s="30"/>
      <c r="G80" s="30"/>
      <c r="H80" s="30"/>
      <c r="I80" s="26" t="str">
        <f>Summary!C$23</f>
        <v>Afghanistan</v>
      </c>
      <c r="J80" s="30"/>
      <c r="K80" s="30" t="s">
        <v>213</v>
      </c>
      <c r="L80" s="30" t="s">
        <v>213</v>
      </c>
      <c r="M80" s="37">
        <f>T80*Summary!$H$27</f>
        <v>0</v>
      </c>
      <c r="N80" s="37">
        <f>U80*Summary!$H$25</f>
        <v>0</v>
      </c>
      <c r="O80" s="5">
        <f>VLOOKUP(L80,'List Data'!A$2:C$94,3,0)</f>
        <v>0</v>
      </c>
      <c r="P80" s="5" t="str">
        <f>VLOOKUP(L80,'List Data'!A$2:B$94,2,0)</f>
        <v>--------</v>
      </c>
      <c r="Q80" s="5">
        <f t="shared" si="14"/>
        <v>10.7</v>
      </c>
      <c r="R80" s="5">
        <f t="shared" si="15"/>
        <v>50</v>
      </c>
      <c r="S80" s="5">
        <f t="shared" si="16"/>
        <v>0</v>
      </c>
      <c r="T80" s="5">
        <f t="shared" si="17"/>
        <v>0</v>
      </c>
      <c r="U80" s="5">
        <f t="shared" si="18"/>
        <v>0</v>
      </c>
      <c r="V80" s="5">
        <f>(IF(AND((O80="OP"),(K80="Child (0-7 years)")),VLOOKUP(($R80*(F80/1000000)),'OP Values'!$A$1:$Q$35,7),))*E80</f>
        <v>0</v>
      </c>
      <c r="W80" s="5">
        <f>(IF(O80="OP",VLOOKUP(($R80*(F80/1000000)),'OP Values'!$A$1:$Q$35,17),))*E80</f>
        <v>0</v>
      </c>
      <c r="X80" s="5">
        <f>(IF(AND((O80="Pb"),(K80="Child (0-7 years)")),(VLOOKUP(F80,Pb!$A$1:$AV$103,13)),0))*E80</f>
        <v>0</v>
      </c>
      <c r="Y80" s="5">
        <f>(IF(AND((O80="Pb"),(K80="Child (0-7 years)")),(VLOOKUP(F80,Pb!$A$2:$AV$103,22)),0))*E80</f>
        <v>0</v>
      </c>
      <c r="Z80" s="5">
        <f>(IF(AND((O80="Pb"),(K80="Adult (&gt; 15 years)")),(VLOOKUP(F80,Pb!$A$2:$AV$103,48)),0))*E80</f>
        <v>0</v>
      </c>
      <c r="AA80" s="5">
        <f>(IF(AND((O80="Hg"),(K80="Child (0-7 years)")),(VLOOKUP(S80,'Hg Values'!$A$1:$M$30,3)),0))*E80</f>
        <v>0</v>
      </c>
      <c r="AB80" s="5">
        <f>(IF(AND((O80="Hg"),(K80="Child (0-7 years)")),(VLOOKUP(S80,'Hg Values'!$A$1:$M$30,13)),0))*E80</f>
        <v>0</v>
      </c>
      <c r="AC80" s="5">
        <f>((IF(AND((O80="CA"),(K80="Adult (&gt; 15 years)")),(VLOOKUP(L80,CA_ingestion!A$1:J$78,7,0)),0))*((F80/1000000)*R80*70))/14</f>
        <v>0</v>
      </c>
      <c r="AD80" s="5">
        <f t="shared" si="19"/>
        <v>0</v>
      </c>
      <c r="AE80" s="5">
        <f>((IF(AND((O80="CA"),(K80="Adult (&gt; 15 years)")),(AD80*(VLOOKUP(L80,CA_ingestion!A$1:J$78,10,0))),0)))</f>
        <v>0</v>
      </c>
      <c r="AF80" s="5">
        <f t="shared" si="20"/>
        <v>0</v>
      </c>
      <c r="AG80" s="5">
        <f t="shared" si="21"/>
        <v>0</v>
      </c>
    </row>
    <row r="81" spans="1:33">
      <c r="A81" s="30"/>
      <c r="B81" s="30"/>
      <c r="C81" s="30"/>
      <c r="D81" s="29" t="s">
        <v>369</v>
      </c>
      <c r="E81" s="35">
        <f>VLOOKUP(D81,'List Data'!$A$100:$B$104,2,0)</f>
        <v>0</v>
      </c>
      <c r="F81" s="30"/>
      <c r="G81" s="30"/>
      <c r="H81" s="30"/>
      <c r="I81" s="26" t="str">
        <f>Summary!C$23</f>
        <v>Afghanistan</v>
      </c>
      <c r="J81" s="30"/>
      <c r="K81" s="30" t="s">
        <v>213</v>
      </c>
      <c r="L81" s="30" t="s">
        <v>213</v>
      </c>
      <c r="M81" s="37">
        <f>T81*Summary!$H$27</f>
        <v>0</v>
      </c>
      <c r="N81" s="37">
        <f>U81*Summary!$H$25</f>
        <v>0</v>
      </c>
      <c r="O81" s="5">
        <f>VLOOKUP(L81,'List Data'!A$2:C$94,3,0)</f>
        <v>0</v>
      </c>
      <c r="P81" s="5" t="str">
        <f>VLOOKUP(L81,'List Data'!A$2:B$94,2,0)</f>
        <v>--------</v>
      </c>
      <c r="Q81" s="5">
        <f t="shared" si="14"/>
        <v>10.7</v>
      </c>
      <c r="R81" s="5">
        <f t="shared" si="15"/>
        <v>50</v>
      </c>
      <c r="S81" s="5">
        <f t="shared" si="16"/>
        <v>0</v>
      </c>
      <c r="T81" s="5">
        <f t="shared" si="17"/>
        <v>0</v>
      </c>
      <c r="U81" s="5">
        <f t="shared" si="18"/>
        <v>0</v>
      </c>
      <c r="V81" s="5">
        <f>(IF(AND((O81="OP"),(K81="Child (0-7 years)")),VLOOKUP(($R81*(F81/1000000)),'OP Values'!$A$1:$Q$35,7),))*E81</f>
        <v>0</v>
      </c>
      <c r="W81" s="5">
        <f>(IF(O81="OP",VLOOKUP(($R81*(F81/1000000)),'OP Values'!$A$1:$Q$35,17),))*E81</f>
        <v>0</v>
      </c>
      <c r="X81" s="5">
        <f>(IF(AND((O81="Pb"),(K81="Child (0-7 years)")),(VLOOKUP(F81,Pb!$A$1:$AV$103,13)),0))*E81</f>
        <v>0</v>
      </c>
      <c r="Y81" s="5">
        <f>(IF(AND((O81="Pb"),(K81="Child (0-7 years)")),(VLOOKUP(F81,Pb!$A$2:$AV$103,22)),0))*E81</f>
        <v>0</v>
      </c>
      <c r="Z81" s="5">
        <f>(IF(AND((O81="Pb"),(K81="Adult (&gt; 15 years)")),(VLOOKUP(F81,Pb!$A$2:$AV$103,48)),0))*E81</f>
        <v>0</v>
      </c>
      <c r="AA81" s="5">
        <f>(IF(AND((O81="Hg"),(K81="Child (0-7 years)")),(VLOOKUP(S81,'Hg Values'!$A$1:$M$30,3)),0))*E81</f>
        <v>0</v>
      </c>
      <c r="AB81" s="5">
        <f>(IF(AND((O81="Hg"),(K81="Child (0-7 years)")),(VLOOKUP(S81,'Hg Values'!$A$1:$M$30,13)),0))*E81</f>
        <v>0</v>
      </c>
      <c r="AC81" s="5">
        <f>((IF(AND((O81="CA"),(K81="Adult (&gt; 15 years)")),(VLOOKUP(L81,CA_ingestion!A$1:J$78,7,0)),0))*((F81/1000000)*R81*70))/14</f>
        <v>0</v>
      </c>
      <c r="AD81" s="5">
        <f t="shared" si="19"/>
        <v>0</v>
      </c>
      <c r="AE81" s="5">
        <f>((IF(AND((O81="CA"),(K81="Adult (&gt; 15 years)")),(AD81*(VLOOKUP(L81,CA_ingestion!A$1:J$78,10,0))),0)))</f>
        <v>0</v>
      </c>
      <c r="AF81" s="5">
        <f t="shared" si="20"/>
        <v>0</v>
      </c>
      <c r="AG81" s="5">
        <f t="shared" si="21"/>
        <v>0</v>
      </c>
    </row>
    <row r="82" spans="1:33">
      <c r="A82" s="30"/>
      <c r="B82" s="30"/>
      <c r="C82" s="30"/>
      <c r="D82" s="29" t="s">
        <v>369</v>
      </c>
      <c r="E82" s="35">
        <f>VLOOKUP(D82,'List Data'!$A$100:$B$104,2,0)</f>
        <v>0</v>
      </c>
      <c r="F82" s="30"/>
      <c r="G82" s="30"/>
      <c r="H82" s="30"/>
      <c r="I82" s="26" t="str">
        <f>Summary!C$23</f>
        <v>Afghanistan</v>
      </c>
      <c r="J82" s="30"/>
      <c r="K82" s="30" t="s">
        <v>213</v>
      </c>
      <c r="L82" s="30" t="s">
        <v>213</v>
      </c>
      <c r="M82" s="37">
        <f>T82*Summary!$H$27</f>
        <v>0</v>
      </c>
      <c r="N82" s="37">
        <f>U82*Summary!$H$25</f>
        <v>0</v>
      </c>
      <c r="O82" s="5">
        <f>VLOOKUP(L82,'List Data'!A$2:C$94,3,0)</f>
        <v>0</v>
      </c>
      <c r="P82" s="5" t="str">
        <f>VLOOKUP(L82,'List Data'!A$2:B$94,2,0)</f>
        <v>--------</v>
      </c>
      <c r="Q82" s="5">
        <f t="shared" si="14"/>
        <v>10.7</v>
      </c>
      <c r="R82" s="5">
        <f t="shared" si="15"/>
        <v>50</v>
      </c>
      <c r="S82" s="5">
        <f t="shared" si="16"/>
        <v>0</v>
      </c>
      <c r="T82" s="5">
        <f t="shared" si="17"/>
        <v>0</v>
      </c>
      <c r="U82" s="5">
        <f t="shared" si="18"/>
        <v>0</v>
      </c>
      <c r="V82" s="5">
        <f>(IF(AND((O82="OP"),(K82="Child (0-7 years)")),VLOOKUP(($R82*(F82/1000000)),'OP Values'!$A$1:$Q$35,7),))*E82</f>
        <v>0</v>
      </c>
      <c r="W82" s="5">
        <f>(IF(O82="OP",VLOOKUP(($R82*(F82/1000000)),'OP Values'!$A$1:$Q$35,17),))*E82</f>
        <v>0</v>
      </c>
      <c r="X82" s="5">
        <f>(IF(AND((O82="Pb"),(K82="Child (0-7 years)")),(VLOOKUP(F82,Pb!$A$1:$AV$103,13)),0))*E82</f>
        <v>0</v>
      </c>
      <c r="Y82" s="5">
        <f>(IF(AND((O82="Pb"),(K82="Child (0-7 years)")),(VLOOKUP(F82,Pb!$A$2:$AV$103,22)),0))*E82</f>
        <v>0</v>
      </c>
      <c r="Z82" s="5">
        <f>(IF(AND((O82="Pb"),(K82="Adult (&gt; 15 years)")),(VLOOKUP(F82,Pb!$A$2:$AV$103,48)),0))*E82</f>
        <v>0</v>
      </c>
      <c r="AA82" s="5">
        <f>(IF(AND((O82="Hg"),(K82="Child (0-7 years)")),(VLOOKUP(S82,'Hg Values'!$A$1:$M$30,3)),0))*E82</f>
        <v>0</v>
      </c>
      <c r="AB82" s="5">
        <f>(IF(AND((O82="Hg"),(K82="Child (0-7 years)")),(VLOOKUP(S82,'Hg Values'!$A$1:$M$30,13)),0))*E82</f>
        <v>0</v>
      </c>
      <c r="AC82" s="5">
        <f>((IF(AND((O82="CA"),(K82="Adult (&gt; 15 years)")),(VLOOKUP(L82,CA_ingestion!A$1:J$78,7,0)),0))*((F82/1000000)*R82*70))/14</f>
        <v>0</v>
      </c>
      <c r="AD82" s="5">
        <f t="shared" si="19"/>
        <v>0</v>
      </c>
      <c r="AE82" s="5">
        <f>((IF(AND((O82="CA"),(K82="Adult (&gt; 15 years)")),(AD82*(VLOOKUP(L82,CA_ingestion!A$1:J$78,10,0))),0)))</f>
        <v>0</v>
      </c>
      <c r="AF82" s="5">
        <f t="shared" si="20"/>
        <v>0</v>
      </c>
      <c r="AG82" s="5">
        <f t="shared" si="21"/>
        <v>0</v>
      </c>
    </row>
    <row r="83" spans="1:33">
      <c r="A83" s="30"/>
      <c r="B83" s="30"/>
      <c r="C83" s="30"/>
      <c r="D83" s="29" t="s">
        <v>369</v>
      </c>
      <c r="E83" s="35">
        <f>VLOOKUP(D83,'List Data'!$A$100:$B$104,2,0)</f>
        <v>0</v>
      </c>
      <c r="F83" s="30"/>
      <c r="G83" s="30"/>
      <c r="H83" s="30"/>
      <c r="I83" s="26" t="str">
        <f>Summary!C$23</f>
        <v>Afghanistan</v>
      </c>
      <c r="J83" s="30"/>
      <c r="K83" s="30" t="s">
        <v>213</v>
      </c>
      <c r="L83" s="30" t="s">
        <v>213</v>
      </c>
      <c r="M83" s="37">
        <f>T83*Summary!$H$27</f>
        <v>0</v>
      </c>
      <c r="N83" s="37">
        <f>U83*Summary!$H$25</f>
        <v>0</v>
      </c>
      <c r="O83" s="5">
        <f>VLOOKUP(L83,'List Data'!A$2:C$94,3,0)</f>
        <v>0</v>
      </c>
      <c r="P83" s="5" t="str">
        <f>VLOOKUP(L83,'List Data'!A$2:B$94,2,0)</f>
        <v>--------</v>
      </c>
      <c r="Q83" s="5">
        <f t="shared" si="14"/>
        <v>10.7</v>
      </c>
      <c r="R83" s="5">
        <f t="shared" si="15"/>
        <v>50</v>
      </c>
      <c r="S83" s="5">
        <f t="shared" si="16"/>
        <v>0</v>
      </c>
      <c r="T83" s="5">
        <f t="shared" si="17"/>
        <v>0</v>
      </c>
      <c r="U83" s="5">
        <f t="shared" si="18"/>
        <v>0</v>
      </c>
      <c r="V83" s="5">
        <f>(IF(AND((O83="OP"),(K83="Child (0-7 years)")),VLOOKUP(($R83*(F83/1000000)),'OP Values'!$A$1:$Q$35,7),))*E83</f>
        <v>0</v>
      </c>
      <c r="W83" s="5">
        <f>(IF(O83="OP",VLOOKUP(($R83*(F83/1000000)),'OP Values'!$A$1:$Q$35,17),))*E83</f>
        <v>0</v>
      </c>
      <c r="X83" s="5">
        <f>(IF(AND((O83="Pb"),(K83="Child (0-7 years)")),(VLOOKUP(F83,Pb!$A$1:$AV$103,13)),0))*E83</f>
        <v>0</v>
      </c>
      <c r="Y83" s="5">
        <f>(IF(AND((O83="Pb"),(K83="Child (0-7 years)")),(VLOOKUP(F83,Pb!$A$2:$AV$103,22)),0))*E83</f>
        <v>0</v>
      </c>
      <c r="Z83" s="5">
        <f>(IF(AND((O83="Pb"),(K83="Adult (&gt; 15 years)")),(VLOOKUP(F83,Pb!$A$2:$AV$103,48)),0))*E83</f>
        <v>0</v>
      </c>
      <c r="AA83" s="5">
        <f>(IF(AND((O83="Hg"),(K83="Child (0-7 years)")),(VLOOKUP(S83,'Hg Values'!$A$1:$M$30,3)),0))*E83</f>
        <v>0</v>
      </c>
      <c r="AB83" s="5">
        <f>(IF(AND((O83="Hg"),(K83="Child (0-7 years)")),(VLOOKUP(S83,'Hg Values'!$A$1:$M$30,13)),0))*E83</f>
        <v>0</v>
      </c>
      <c r="AC83" s="5">
        <f>((IF(AND((O83="CA"),(K83="Adult (&gt; 15 years)")),(VLOOKUP(L83,CA_ingestion!A$1:J$78,7,0)),0))*((F83/1000000)*R83*70))/14</f>
        <v>0</v>
      </c>
      <c r="AD83" s="5">
        <f t="shared" si="19"/>
        <v>0</v>
      </c>
      <c r="AE83" s="5">
        <f>((IF(AND((O83="CA"),(K83="Adult (&gt; 15 years)")),(AD83*(VLOOKUP(L83,CA_ingestion!A$1:J$78,10,0))),0)))</f>
        <v>0</v>
      </c>
      <c r="AF83" s="5">
        <f t="shared" si="20"/>
        <v>0</v>
      </c>
      <c r="AG83" s="5">
        <f t="shared" si="21"/>
        <v>0</v>
      </c>
    </row>
    <row r="84" spans="1:33">
      <c r="A84" s="30"/>
      <c r="B84" s="30"/>
      <c r="C84" s="30"/>
      <c r="D84" s="29" t="s">
        <v>369</v>
      </c>
      <c r="E84" s="35">
        <f>VLOOKUP(D84,'List Data'!$A$100:$B$104,2,0)</f>
        <v>0</v>
      </c>
      <c r="F84" s="30"/>
      <c r="G84" s="30"/>
      <c r="H84" s="30"/>
      <c r="I84" s="26" t="str">
        <f>Summary!C$23</f>
        <v>Afghanistan</v>
      </c>
      <c r="J84" s="30"/>
      <c r="K84" s="30" t="s">
        <v>213</v>
      </c>
      <c r="L84" s="30" t="s">
        <v>213</v>
      </c>
      <c r="M84" s="37">
        <f>T84*Summary!$H$27</f>
        <v>0</v>
      </c>
      <c r="N84" s="37">
        <f>U84*Summary!$H$25</f>
        <v>0</v>
      </c>
      <c r="O84" s="5">
        <f>VLOOKUP(L84,'List Data'!A$2:C$94,3,0)</f>
        <v>0</v>
      </c>
      <c r="P84" s="5" t="str">
        <f>VLOOKUP(L84,'List Data'!A$2:B$94,2,0)</f>
        <v>--------</v>
      </c>
      <c r="Q84" s="5">
        <f t="shared" si="14"/>
        <v>10.7</v>
      </c>
      <c r="R84" s="5">
        <f t="shared" si="15"/>
        <v>50</v>
      </c>
      <c r="S84" s="5">
        <f t="shared" si="16"/>
        <v>0</v>
      </c>
      <c r="T84" s="5">
        <f t="shared" si="17"/>
        <v>0</v>
      </c>
      <c r="U84" s="5">
        <f t="shared" si="18"/>
        <v>0</v>
      </c>
      <c r="V84" s="5">
        <f>(IF(AND((O84="OP"),(K84="Child (0-7 years)")),VLOOKUP(($R84*(F84/1000000)),'OP Values'!$A$1:$Q$35,7),))*E84</f>
        <v>0</v>
      </c>
      <c r="W84" s="5">
        <f>(IF(O84="OP",VLOOKUP(($R84*(F84/1000000)),'OP Values'!$A$1:$Q$35,17),))*E84</f>
        <v>0</v>
      </c>
      <c r="X84" s="5">
        <f>(IF(AND((O84="Pb"),(K84="Child (0-7 years)")),(VLOOKUP(F84,Pb!$A$1:$AV$103,13)),0))*E84</f>
        <v>0</v>
      </c>
      <c r="Y84" s="5">
        <f>(IF(AND((O84="Pb"),(K84="Child (0-7 years)")),(VLOOKUP(F84,Pb!$A$2:$AV$103,22)),0))*E84</f>
        <v>0</v>
      </c>
      <c r="Z84" s="5">
        <f>(IF(AND((O84="Pb"),(K84="Adult (&gt; 15 years)")),(VLOOKUP(F84,Pb!$A$2:$AV$103,48)),0))*E84</f>
        <v>0</v>
      </c>
      <c r="AA84" s="5">
        <f>(IF(AND((O84="Hg"),(K84="Child (0-7 years)")),(VLOOKUP(S84,'Hg Values'!$A$1:$M$30,3)),0))*E84</f>
        <v>0</v>
      </c>
      <c r="AB84" s="5">
        <f>(IF(AND((O84="Hg"),(K84="Child (0-7 years)")),(VLOOKUP(S84,'Hg Values'!$A$1:$M$30,13)),0))*E84</f>
        <v>0</v>
      </c>
      <c r="AC84" s="5">
        <f>((IF(AND((O84="CA"),(K84="Adult (&gt; 15 years)")),(VLOOKUP(L84,CA_ingestion!A$1:J$78,7,0)),0))*((F84/1000000)*R84*70))/14</f>
        <v>0</v>
      </c>
      <c r="AD84" s="5">
        <f t="shared" si="19"/>
        <v>0</v>
      </c>
      <c r="AE84" s="5">
        <f>((IF(AND((O84="CA"),(K84="Adult (&gt; 15 years)")),(AD84*(VLOOKUP(L84,CA_ingestion!A$1:J$78,10,0))),0)))</f>
        <v>0</v>
      </c>
      <c r="AF84" s="5">
        <f t="shared" si="20"/>
        <v>0</v>
      </c>
      <c r="AG84" s="5">
        <f t="shared" si="21"/>
        <v>0</v>
      </c>
    </row>
    <row r="85" spans="1:33">
      <c r="A85" s="30"/>
      <c r="B85" s="30"/>
      <c r="C85" s="30"/>
      <c r="D85" s="29" t="s">
        <v>369</v>
      </c>
      <c r="E85" s="35">
        <f>VLOOKUP(D85,'List Data'!$A$100:$B$104,2,0)</f>
        <v>0</v>
      </c>
      <c r="F85" s="30"/>
      <c r="G85" s="30"/>
      <c r="H85" s="30"/>
      <c r="I85" s="26" t="str">
        <f>Summary!C$23</f>
        <v>Afghanistan</v>
      </c>
      <c r="J85" s="30"/>
      <c r="K85" s="30" t="s">
        <v>213</v>
      </c>
      <c r="L85" s="30" t="s">
        <v>213</v>
      </c>
      <c r="M85" s="37">
        <f>T85*Summary!$H$27</f>
        <v>0</v>
      </c>
      <c r="N85" s="37">
        <f>U85*Summary!$H$25</f>
        <v>0</v>
      </c>
      <c r="O85" s="5">
        <f>VLOOKUP(L85,'List Data'!A$2:C$94,3,0)</f>
        <v>0</v>
      </c>
      <c r="P85" s="5" t="str">
        <f>VLOOKUP(L85,'List Data'!A$2:B$94,2,0)</f>
        <v>--------</v>
      </c>
      <c r="Q85" s="5">
        <f t="shared" si="14"/>
        <v>10.7</v>
      </c>
      <c r="R85" s="5">
        <f t="shared" si="15"/>
        <v>50</v>
      </c>
      <c r="S85" s="5">
        <f t="shared" si="16"/>
        <v>0</v>
      </c>
      <c r="T85" s="5">
        <f t="shared" si="17"/>
        <v>0</v>
      </c>
      <c r="U85" s="5">
        <f t="shared" si="18"/>
        <v>0</v>
      </c>
      <c r="V85" s="5">
        <f>(IF(AND((O85="OP"),(K85="Child (0-7 years)")),VLOOKUP(($R85*(F85/1000000)),'OP Values'!$A$1:$Q$35,7),))*E85</f>
        <v>0</v>
      </c>
      <c r="W85" s="5">
        <f>(IF(O85="OP",VLOOKUP(($R85*(F85/1000000)),'OP Values'!$A$1:$Q$35,17),))*E85</f>
        <v>0</v>
      </c>
      <c r="X85" s="5">
        <f>(IF(AND((O85="Pb"),(K85="Child (0-7 years)")),(VLOOKUP(F85,Pb!$A$1:$AV$103,13)),0))*E85</f>
        <v>0</v>
      </c>
      <c r="Y85" s="5">
        <f>(IF(AND((O85="Pb"),(K85="Child (0-7 years)")),(VLOOKUP(F85,Pb!$A$2:$AV$103,22)),0))*E85</f>
        <v>0</v>
      </c>
      <c r="Z85" s="5">
        <f>(IF(AND((O85="Pb"),(K85="Adult (&gt; 15 years)")),(VLOOKUP(F85,Pb!$A$2:$AV$103,48)),0))*E85</f>
        <v>0</v>
      </c>
      <c r="AA85" s="5">
        <f>(IF(AND((O85="Hg"),(K85="Child (0-7 years)")),(VLOOKUP(S85,'Hg Values'!$A$1:$M$30,3)),0))*E85</f>
        <v>0</v>
      </c>
      <c r="AB85" s="5">
        <f>(IF(AND((O85="Hg"),(K85="Child (0-7 years)")),(VLOOKUP(S85,'Hg Values'!$A$1:$M$30,13)),0))*E85</f>
        <v>0</v>
      </c>
      <c r="AC85" s="5">
        <f>((IF(AND((O85="CA"),(K85="Adult (&gt; 15 years)")),(VLOOKUP(L85,CA_ingestion!A$1:J$78,7,0)),0))*((F85/1000000)*R85*70))/14</f>
        <v>0</v>
      </c>
      <c r="AD85" s="5">
        <f t="shared" si="19"/>
        <v>0</v>
      </c>
      <c r="AE85" s="5">
        <f>((IF(AND((O85="CA"),(K85="Adult (&gt; 15 years)")),(AD85*(VLOOKUP(L85,CA_ingestion!A$1:J$78,10,0))),0)))</f>
        <v>0</v>
      </c>
      <c r="AF85" s="5">
        <f t="shared" si="20"/>
        <v>0</v>
      </c>
      <c r="AG85" s="5">
        <f t="shared" si="21"/>
        <v>0</v>
      </c>
    </row>
    <row r="86" spans="1:33">
      <c r="A86" s="30"/>
      <c r="B86" s="30"/>
      <c r="C86" s="30"/>
      <c r="D86" s="29" t="s">
        <v>369</v>
      </c>
      <c r="E86" s="35">
        <f>VLOOKUP(D86,'List Data'!$A$100:$B$104,2,0)</f>
        <v>0</v>
      </c>
      <c r="F86" s="30"/>
      <c r="G86" s="30"/>
      <c r="H86" s="30"/>
      <c r="I86" s="26" t="str">
        <f>Summary!C$23</f>
        <v>Afghanistan</v>
      </c>
      <c r="J86" s="30"/>
      <c r="K86" s="30" t="s">
        <v>213</v>
      </c>
      <c r="L86" s="30" t="s">
        <v>213</v>
      </c>
      <c r="M86" s="37">
        <f>T86*Summary!$H$27</f>
        <v>0</v>
      </c>
      <c r="N86" s="37">
        <f>U86*Summary!$H$25</f>
        <v>0</v>
      </c>
      <c r="O86" s="5">
        <f>VLOOKUP(L86,'List Data'!A$2:C$94,3,0)</f>
        <v>0</v>
      </c>
      <c r="P86" s="5" t="str">
        <f>VLOOKUP(L86,'List Data'!A$2:B$94,2,0)</f>
        <v>--------</v>
      </c>
      <c r="Q86" s="5">
        <f t="shared" si="14"/>
        <v>10.7</v>
      </c>
      <c r="R86" s="5">
        <f t="shared" si="15"/>
        <v>50</v>
      </c>
      <c r="S86" s="5">
        <f t="shared" si="16"/>
        <v>0</v>
      </c>
      <c r="T86" s="5">
        <f t="shared" si="17"/>
        <v>0</v>
      </c>
      <c r="U86" s="5">
        <f t="shared" si="18"/>
        <v>0</v>
      </c>
      <c r="V86" s="5">
        <f>(IF(AND((O86="OP"),(K86="Child (0-7 years)")),VLOOKUP(($R86*(F86/1000000)),'OP Values'!$A$1:$Q$35,7),))*E86</f>
        <v>0</v>
      </c>
      <c r="W86" s="5">
        <f>(IF(O86="OP",VLOOKUP(($R86*(F86/1000000)),'OP Values'!$A$1:$Q$35,17),))*E86</f>
        <v>0</v>
      </c>
      <c r="X86" s="5">
        <f>(IF(AND((O86="Pb"),(K86="Child (0-7 years)")),(VLOOKUP(F86,Pb!$A$1:$AV$103,13)),0))*E86</f>
        <v>0</v>
      </c>
      <c r="Y86" s="5">
        <f>(IF(AND((O86="Pb"),(K86="Child (0-7 years)")),(VLOOKUP(F86,Pb!$A$2:$AV$103,22)),0))*E86</f>
        <v>0</v>
      </c>
      <c r="Z86" s="5">
        <f>(IF(AND((O86="Pb"),(K86="Adult (&gt; 15 years)")),(VLOOKUP(F86,Pb!$A$2:$AV$103,48)),0))*E86</f>
        <v>0</v>
      </c>
      <c r="AA86" s="5">
        <f>(IF(AND((O86="Hg"),(K86="Child (0-7 years)")),(VLOOKUP(S86,'Hg Values'!$A$1:$M$30,3)),0))*E86</f>
        <v>0</v>
      </c>
      <c r="AB86" s="5">
        <f>(IF(AND((O86="Hg"),(K86="Child (0-7 years)")),(VLOOKUP(S86,'Hg Values'!$A$1:$M$30,13)),0))*E86</f>
        <v>0</v>
      </c>
      <c r="AC86" s="5">
        <f>((IF(AND((O86="CA"),(K86="Adult (&gt; 15 years)")),(VLOOKUP(L86,CA_ingestion!A$1:J$78,7,0)),0))*((F86/1000000)*R86*70))/14</f>
        <v>0</v>
      </c>
      <c r="AD86" s="5">
        <f t="shared" si="19"/>
        <v>0</v>
      </c>
      <c r="AE86" s="5">
        <f>((IF(AND((O86="CA"),(K86="Adult (&gt; 15 years)")),(AD86*(VLOOKUP(L86,CA_ingestion!A$1:J$78,10,0))),0)))</f>
        <v>0</v>
      </c>
      <c r="AF86" s="5">
        <f t="shared" si="20"/>
        <v>0</v>
      </c>
      <c r="AG86" s="5">
        <f t="shared" si="21"/>
        <v>0</v>
      </c>
    </row>
    <row r="87" spans="1:33">
      <c r="A87" s="30"/>
      <c r="B87" s="30"/>
      <c r="C87" s="30"/>
      <c r="D87" s="29" t="s">
        <v>369</v>
      </c>
      <c r="E87" s="35">
        <f>VLOOKUP(D87,'List Data'!$A$100:$B$104,2,0)</f>
        <v>0</v>
      </c>
      <c r="F87" s="30"/>
      <c r="G87" s="30"/>
      <c r="H87" s="30"/>
      <c r="I87" s="26" t="str">
        <f>Summary!C$23</f>
        <v>Afghanistan</v>
      </c>
      <c r="J87" s="30"/>
      <c r="K87" s="30" t="s">
        <v>213</v>
      </c>
      <c r="L87" s="30" t="s">
        <v>213</v>
      </c>
      <c r="M87" s="37">
        <f>T87*Summary!$H$27</f>
        <v>0</v>
      </c>
      <c r="N87" s="37">
        <f>U87*Summary!$H$25</f>
        <v>0</v>
      </c>
      <c r="O87" s="5">
        <f>VLOOKUP(L87,'List Data'!A$2:C$94,3,0)</f>
        <v>0</v>
      </c>
      <c r="P87" s="5" t="str">
        <f>VLOOKUP(L87,'List Data'!A$2:B$94,2,0)</f>
        <v>--------</v>
      </c>
      <c r="Q87" s="5">
        <f t="shared" si="14"/>
        <v>10.7</v>
      </c>
      <c r="R87" s="5">
        <f t="shared" si="15"/>
        <v>50</v>
      </c>
      <c r="S87" s="5">
        <f t="shared" si="16"/>
        <v>0</v>
      </c>
      <c r="T87" s="5">
        <f t="shared" si="17"/>
        <v>0</v>
      </c>
      <c r="U87" s="5">
        <f t="shared" si="18"/>
        <v>0</v>
      </c>
      <c r="V87" s="5">
        <f>(IF(AND((O87="OP"),(K87="Child (0-7 years)")),VLOOKUP(($R87*(F87/1000000)),'OP Values'!$A$1:$Q$35,7),))*E87</f>
        <v>0</v>
      </c>
      <c r="W87" s="5">
        <f>(IF(O87="OP",VLOOKUP(($R87*(F87/1000000)),'OP Values'!$A$1:$Q$35,17),))*E87</f>
        <v>0</v>
      </c>
      <c r="X87" s="5">
        <f>(IF(AND((O87="Pb"),(K87="Child (0-7 years)")),(VLOOKUP(F87,Pb!$A$1:$AV$103,13)),0))*E87</f>
        <v>0</v>
      </c>
      <c r="Y87" s="5">
        <f>(IF(AND((O87="Pb"),(K87="Child (0-7 years)")),(VLOOKUP(F87,Pb!$A$2:$AV$103,22)),0))*E87</f>
        <v>0</v>
      </c>
      <c r="Z87" s="5">
        <f>(IF(AND((O87="Pb"),(K87="Adult (&gt; 15 years)")),(VLOOKUP(F87,Pb!$A$2:$AV$103,48)),0))*E87</f>
        <v>0</v>
      </c>
      <c r="AA87" s="5">
        <f>(IF(AND((O87="Hg"),(K87="Child (0-7 years)")),(VLOOKUP(S87,'Hg Values'!$A$1:$M$30,3)),0))*E87</f>
        <v>0</v>
      </c>
      <c r="AB87" s="5">
        <f>(IF(AND((O87="Hg"),(K87="Child (0-7 years)")),(VLOOKUP(S87,'Hg Values'!$A$1:$M$30,13)),0))*E87</f>
        <v>0</v>
      </c>
      <c r="AC87" s="5">
        <f>((IF(AND((O87="CA"),(K87="Adult (&gt; 15 years)")),(VLOOKUP(L87,CA_ingestion!A$1:J$78,7,0)),0))*((F87/1000000)*R87*70))/14</f>
        <v>0</v>
      </c>
      <c r="AD87" s="5">
        <f t="shared" si="19"/>
        <v>0</v>
      </c>
      <c r="AE87" s="5">
        <f>((IF(AND((O87="CA"),(K87="Adult (&gt; 15 years)")),(AD87*(VLOOKUP(L87,CA_ingestion!A$1:J$78,10,0))),0)))</f>
        <v>0</v>
      </c>
      <c r="AF87" s="5">
        <f t="shared" si="20"/>
        <v>0</v>
      </c>
      <c r="AG87" s="5">
        <f t="shared" si="21"/>
        <v>0</v>
      </c>
    </row>
    <row r="88" spans="1:33">
      <c r="A88" s="30"/>
      <c r="B88" s="30"/>
      <c r="C88" s="30"/>
      <c r="D88" s="29" t="s">
        <v>369</v>
      </c>
      <c r="E88" s="35">
        <f>VLOOKUP(D88,'List Data'!$A$100:$B$104,2,0)</f>
        <v>0</v>
      </c>
      <c r="F88" s="30"/>
      <c r="G88" s="30"/>
      <c r="H88" s="30"/>
      <c r="I88" s="26" t="str">
        <f>Summary!C$23</f>
        <v>Afghanistan</v>
      </c>
      <c r="J88" s="30"/>
      <c r="K88" s="30" t="s">
        <v>213</v>
      </c>
      <c r="L88" s="30" t="s">
        <v>213</v>
      </c>
      <c r="M88" s="37">
        <f>T88*Summary!$H$27</f>
        <v>0</v>
      </c>
      <c r="N88" s="37">
        <f>U88*Summary!$H$25</f>
        <v>0</v>
      </c>
      <c r="O88" s="5">
        <f>VLOOKUP(L88,'List Data'!A$2:C$94,3,0)</f>
        <v>0</v>
      </c>
      <c r="P88" s="5" t="str">
        <f>VLOOKUP(L88,'List Data'!A$2:B$94,2,0)</f>
        <v>--------</v>
      </c>
      <c r="Q88" s="5">
        <f t="shared" si="14"/>
        <v>10.7</v>
      </c>
      <c r="R88" s="5">
        <f t="shared" si="15"/>
        <v>50</v>
      </c>
      <c r="S88" s="5">
        <f t="shared" si="16"/>
        <v>0</v>
      </c>
      <c r="T88" s="5">
        <f t="shared" si="17"/>
        <v>0</v>
      </c>
      <c r="U88" s="5">
        <f t="shared" si="18"/>
        <v>0</v>
      </c>
      <c r="V88" s="5">
        <f>(IF(AND((O88="OP"),(K88="Child (0-7 years)")),VLOOKUP(($R88*(F88/1000000)),'OP Values'!$A$1:$Q$35,7),))*E88</f>
        <v>0</v>
      </c>
      <c r="W88" s="5">
        <f>(IF(O88="OP",VLOOKUP(($R88*(F88/1000000)),'OP Values'!$A$1:$Q$35,17),))*E88</f>
        <v>0</v>
      </c>
      <c r="X88" s="5">
        <f>(IF(AND((O88="Pb"),(K88="Child (0-7 years)")),(VLOOKUP(F88,Pb!$A$1:$AV$103,13)),0))*E88</f>
        <v>0</v>
      </c>
      <c r="Y88" s="5">
        <f>(IF(AND((O88="Pb"),(K88="Child (0-7 years)")),(VLOOKUP(F88,Pb!$A$2:$AV$103,22)),0))*E88</f>
        <v>0</v>
      </c>
      <c r="Z88" s="5">
        <f>(IF(AND((O88="Pb"),(K88="Adult (&gt; 15 years)")),(VLOOKUP(F88,Pb!$A$2:$AV$103,48)),0))*E88</f>
        <v>0</v>
      </c>
      <c r="AA88" s="5">
        <f>(IF(AND((O88="Hg"),(K88="Child (0-7 years)")),(VLOOKUP(S88,'Hg Values'!$A$1:$M$30,3)),0))*E88</f>
        <v>0</v>
      </c>
      <c r="AB88" s="5">
        <f>(IF(AND((O88="Hg"),(K88="Child (0-7 years)")),(VLOOKUP(S88,'Hg Values'!$A$1:$M$30,13)),0))*E88</f>
        <v>0</v>
      </c>
      <c r="AC88" s="5">
        <f>((IF(AND((O88="CA"),(K88="Adult (&gt; 15 years)")),(VLOOKUP(L88,CA_ingestion!A$1:J$78,7,0)),0))*((F88/1000000)*R88*70))/14</f>
        <v>0</v>
      </c>
      <c r="AD88" s="5">
        <f t="shared" si="19"/>
        <v>0</v>
      </c>
      <c r="AE88" s="5">
        <f>((IF(AND((O88="CA"),(K88="Adult (&gt; 15 years)")),(AD88*(VLOOKUP(L88,CA_ingestion!A$1:J$78,10,0))),0)))</f>
        <v>0</v>
      </c>
      <c r="AF88" s="5">
        <f t="shared" si="20"/>
        <v>0</v>
      </c>
      <c r="AG88" s="5">
        <f t="shared" si="21"/>
        <v>0</v>
      </c>
    </row>
    <row r="89" spans="1:33">
      <c r="A89" s="30"/>
      <c r="B89" s="30"/>
      <c r="C89" s="30"/>
      <c r="D89" s="29" t="s">
        <v>369</v>
      </c>
      <c r="E89" s="35">
        <f>VLOOKUP(D89,'List Data'!$A$100:$B$104,2,0)</f>
        <v>0</v>
      </c>
      <c r="F89" s="30"/>
      <c r="G89" s="30"/>
      <c r="H89" s="30"/>
      <c r="I89" s="26" t="str">
        <f>Summary!C$23</f>
        <v>Afghanistan</v>
      </c>
      <c r="J89" s="30"/>
      <c r="K89" s="30" t="s">
        <v>213</v>
      </c>
      <c r="L89" s="30" t="s">
        <v>213</v>
      </c>
      <c r="M89" s="37">
        <f>T89*Summary!$H$27</f>
        <v>0</v>
      </c>
      <c r="N89" s="37">
        <f>U89*Summary!$H$25</f>
        <v>0</v>
      </c>
      <c r="O89" s="5">
        <f>VLOOKUP(L89,'List Data'!A$2:C$94,3,0)</f>
        <v>0</v>
      </c>
      <c r="P89" s="5" t="str">
        <f>VLOOKUP(L89,'List Data'!A$2:B$94,2,0)</f>
        <v>--------</v>
      </c>
      <c r="Q89" s="5">
        <f t="shared" si="14"/>
        <v>10.7</v>
      </c>
      <c r="R89" s="5">
        <f t="shared" si="15"/>
        <v>50</v>
      </c>
      <c r="S89" s="5">
        <f t="shared" si="16"/>
        <v>0</v>
      </c>
      <c r="T89" s="5">
        <f t="shared" si="17"/>
        <v>0</v>
      </c>
      <c r="U89" s="5">
        <f t="shared" si="18"/>
        <v>0</v>
      </c>
      <c r="V89" s="5">
        <f>(IF(AND((O89="OP"),(K89="Child (0-7 years)")),VLOOKUP(($R89*(F89/1000000)),'OP Values'!$A$1:$Q$35,7),))*E89</f>
        <v>0</v>
      </c>
      <c r="W89" s="5">
        <f>(IF(O89="OP",VLOOKUP(($R89*(F89/1000000)),'OP Values'!$A$1:$Q$35,17),))*E89</f>
        <v>0</v>
      </c>
      <c r="X89" s="5">
        <f>(IF(AND((O89="Pb"),(K89="Child (0-7 years)")),(VLOOKUP(F89,Pb!$A$1:$AV$103,13)),0))*E89</f>
        <v>0</v>
      </c>
      <c r="Y89" s="5">
        <f>(IF(AND((O89="Pb"),(K89="Child (0-7 years)")),(VLOOKUP(F89,Pb!$A$2:$AV$103,22)),0))*E89</f>
        <v>0</v>
      </c>
      <c r="Z89" s="5">
        <f>(IF(AND((O89="Pb"),(K89="Adult (&gt; 15 years)")),(VLOOKUP(F89,Pb!$A$2:$AV$103,48)),0))*E89</f>
        <v>0</v>
      </c>
      <c r="AA89" s="5">
        <f>(IF(AND((O89="Hg"),(K89="Child (0-7 years)")),(VLOOKUP(S89,'Hg Values'!$A$1:$M$30,3)),0))*E89</f>
        <v>0</v>
      </c>
      <c r="AB89" s="5">
        <f>(IF(AND((O89="Hg"),(K89="Child (0-7 years)")),(VLOOKUP(S89,'Hg Values'!$A$1:$M$30,13)),0))*E89</f>
        <v>0</v>
      </c>
      <c r="AC89" s="5">
        <f>((IF(AND((O89="CA"),(K89="Adult (&gt; 15 years)")),(VLOOKUP(L89,CA_ingestion!A$1:J$78,7,0)),0))*((F89/1000000)*R89*70))/14</f>
        <v>0</v>
      </c>
      <c r="AD89" s="5">
        <f t="shared" si="19"/>
        <v>0</v>
      </c>
      <c r="AE89" s="5">
        <f>((IF(AND((O89="CA"),(K89="Adult (&gt; 15 years)")),(AD89*(VLOOKUP(L89,CA_ingestion!A$1:J$78,10,0))),0)))</f>
        <v>0</v>
      </c>
      <c r="AF89" s="5">
        <f t="shared" si="20"/>
        <v>0</v>
      </c>
      <c r="AG89" s="5">
        <f t="shared" si="21"/>
        <v>0</v>
      </c>
    </row>
    <row r="90" spans="1:33">
      <c r="A90" s="30"/>
      <c r="B90" s="30"/>
      <c r="C90" s="30"/>
      <c r="D90" s="29" t="s">
        <v>369</v>
      </c>
      <c r="E90" s="35">
        <f>VLOOKUP(D90,'List Data'!$A$100:$B$104,2,0)</f>
        <v>0</v>
      </c>
      <c r="F90" s="30"/>
      <c r="G90" s="30"/>
      <c r="H90" s="30"/>
      <c r="I90" s="26" t="str">
        <f>Summary!C$23</f>
        <v>Afghanistan</v>
      </c>
      <c r="J90" s="30"/>
      <c r="K90" s="30" t="s">
        <v>213</v>
      </c>
      <c r="L90" s="30" t="s">
        <v>213</v>
      </c>
      <c r="M90" s="37">
        <f>T90*Summary!$H$27</f>
        <v>0</v>
      </c>
      <c r="N90" s="37">
        <f>U90*Summary!$H$25</f>
        <v>0</v>
      </c>
      <c r="O90" s="5">
        <f>VLOOKUP(L90,'List Data'!A$2:C$94,3,0)</f>
        <v>0</v>
      </c>
      <c r="P90" s="5" t="str">
        <f>VLOOKUP(L90,'List Data'!A$2:B$94,2,0)</f>
        <v>--------</v>
      </c>
      <c r="Q90" s="5">
        <f t="shared" si="14"/>
        <v>10.7</v>
      </c>
      <c r="R90" s="5">
        <f t="shared" si="15"/>
        <v>50</v>
      </c>
      <c r="S90" s="5">
        <f t="shared" si="16"/>
        <v>0</v>
      </c>
      <c r="T90" s="5">
        <f t="shared" si="17"/>
        <v>0</v>
      </c>
      <c r="U90" s="5">
        <f t="shared" si="18"/>
        <v>0</v>
      </c>
      <c r="V90" s="5">
        <f>(IF(AND((O90="OP"),(K90="Child (0-7 years)")),VLOOKUP(($R90*(F90/1000000)),'OP Values'!$A$1:$Q$35,7),))*E90</f>
        <v>0</v>
      </c>
      <c r="W90" s="5">
        <f>(IF(O90="OP",VLOOKUP(($R90*(F90/1000000)),'OP Values'!$A$1:$Q$35,17),))*E90</f>
        <v>0</v>
      </c>
      <c r="X90" s="5">
        <f>(IF(AND((O90="Pb"),(K90="Child (0-7 years)")),(VLOOKUP(F90,Pb!$A$1:$AV$103,13)),0))*E90</f>
        <v>0</v>
      </c>
      <c r="Y90" s="5">
        <f>(IF(AND((O90="Pb"),(K90="Child (0-7 years)")),(VLOOKUP(F90,Pb!$A$2:$AV$103,22)),0))*E90</f>
        <v>0</v>
      </c>
      <c r="Z90" s="5">
        <f>(IF(AND((O90="Pb"),(K90="Adult (&gt; 15 years)")),(VLOOKUP(F90,Pb!$A$2:$AV$103,48)),0))*E90</f>
        <v>0</v>
      </c>
      <c r="AA90" s="5">
        <f>(IF(AND((O90="Hg"),(K90="Child (0-7 years)")),(VLOOKUP(S90,'Hg Values'!$A$1:$M$30,3)),0))*E90</f>
        <v>0</v>
      </c>
      <c r="AB90" s="5">
        <f>(IF(AND((O90="Hg"),(K90="Child (0-7 years)")),(VLOOKUP(S90,'Hg Values'!$A$1:$M$30,13)),0))*E90</f>
        <v>0</v>
      </c>
      <c r="AC90" s="5">
        <f>((IF(AND((O90="CA"),(K90="Adult (&gt; 15 years)")),(VLOOKUP(L90,CA_ingestion!A$1:J$78,7,0)),0))*((F90/1000000)*R90*70))/14</f>
        <v>0</v>
      </c>
      <c r="AD90" s="5">
        <f t="shared" si="19"/>
        <v>0</v>
      </c>
      <c r="AE90" s="5">
        <f>((IF(AND((O90="CA"),(K90="Adult (&gt; 15 years)")),(AD90*(VLOOKUP(L90,CA_ingestion!A$1:J$78,10,0))),0)))</f>
        <v>0</v>
      </c>
      <c r="AF90" s="5">
        <f t="shared" si="20"/>
        <v>0</v>
      </c>
      <c r="AG90" s="5">
        <f t="shared" si="21"/>
        <v>0</v>
      </c>
    </row>
    <row r="91" spans="1:33">
      <c r="A91" s="30"/>
      <c r="B91" s="30"/>
      <c r="C91" s="30"/>
      <c r="D91" s="29" t="s">
        <v>369</v>
      </c>
      <c r="E91" s="35">
        <f>VLOOKUP(D91,'List Data'!$A$100:$B$104,2,0)</f>
        <v>0</v>
      </c>
      <c r="F91" s="30"/>
      <c r="G91" s="30"/>
      <c r="H91" s="30"/>
      <c r="I91" s="26" t="str">
        <f>Summary!C$23</f>
        <v>Afghanistan</v>
      </c>
      <c r="J91" s="30"/>
      <c r="K91" s="30" t="s">
        <v>213</v>
      </c>
      <c r="L91" s="30" t="s">
        <v>213</v>
      </c>
      <c r="M91" s="37">
        <f>T91*Summary!$H$27</f>
        <v>0</v>
      </c>
      <c r="N91" s="37">
        <f>U91*Summary!$H$25</f>
        <v>0</v>
      </c>
      <c r="O91" s="5">
        <f>VLOOKUP(L91,'List Data'!A$2:C$94,3,0)</f>
        <v>0</v>
      </c>
      <c r="P91" s="5" t="str">
        <f>VLOOKUP(L91,'List Data'!A$2:B$94,2,0)</f>
        <v>--------</v>
      </c>
      <c r="Q91" s="5">
        <f t="shared" si="14"/>
        <v>10.7</v>
      </c>
      <c r="R91" s="5">
        <f t="shared" si="15"/>
        <v>50</v>
      </c>
      <c r="S91" s="5">
        <f t="shared" si="16"/>
        <v>0</v>
      </c>
      <c r="T91" s="5">
        <f t="shared" si="17"/>
        <v>0</v>
      </c>
      <c r="U91" s="5">
        <f t="shared" si="18"/>
        <v>0</v>
      </c>
      <c r="V91" s="5">
        <f>(IF(AND((O91="OP"),(K91="Child (0-7 years)")),VLOOKUP(($R91*(F91/1000000)),'OP Values'!$A$1:$Q$35,7),))*E91</f>
        <v>0</v>
      </c>
      <c r="W91" s="5">
        <f>(IF(O91="OP",VLOOKUP(($R91*(F91/1000000)),'OP Values'!$A$1:$Q$35,17),))*E91</f>
        <v>0</v>
      </c>
      <c r="X91" s="5">
        <f>(IF(AND((O91="Pb"),(K91="Child (0-7 years)")),(VLOOKUP(F91,Pb!$A$1:$AV$103,13)),0))*E91</f>
        <v>0</v>
      </c>
      <c r="Y91" s="5">
        <f>(IF(AND((O91="Pb"),(K91="Child (0-7 years)")),(VLOOKUP(F91,Pb!$A$2:$AV$103,22)),0))*E91</f>
        <v>0</v>
      </c>
      <c r="Z91" s="5">
        <f>(IF(AND((O91="Pb"),(K91="Adult (&gt; 15 years)")),(VLOOKUP(F91,Pb!$A$2:$AV$103,48)),0))*E91</f>
        <v>0</v>
      </c>
      <c r="AA91" s="5">
        <f>(IF(AND((O91="Hg"),(K91="Child (0-7 years)")),(VLOOKUP(S91,'Hg Values'!$A$1:$M$30,3)),0))*E91</f>
        <v>0</v>
      </c>
      <c r="AB91" s="5">
        <f>(IF(AND((O91="Hg"),(K91="Child (0-7 years)")),(VLOOKUP(S91,'Hg Values'!$A$1:$M$30,13)),0))*E91</f>
        <v>0</v>
      </c>
      <c r="AC91" s="5">
        <f>((IF(AND((O91="CA"),(K91="Adult (&gt; 15 years)")),(VLOOKUP(L91,CA_ingestion!A$1:J$78,7,0)),0))*((F91/1000000)*R91*70))/14</f>
        <v>0</v>
      </c>
      <c r="AD91" s="5">
        <f t="shared" si="19"/>
        <v>0</v>
      </c>
      <c r="AE91" s="5">
        <f>((IF(AND((O91="CA"),(K91="Adult (&gt; 15 years)")),(AD91*(VLOOKUP(L91,CA_ingestion!A$1:J$78,10,0))),0)))</f>
        <v>0</v>
      </c>
      <c r="AF91" s="5">
        <f t="shared" si="20"/>
        <v>0</v>
      </c>
      <c r="AG91" s="5">
        <f t="shared" si="21"/>
        <v>0</v>
      </c>
    </row>
    <row r="92" spans="1:33">
      <c r="A92" s="30"/>
      <c r="B92" s="30"/>
      <c r="C92" s="30"/>
      <c r="D92" s="29" t="s">
        <v>369</v>
      </c>
      <c r="E92" s="35">
        <f>VLOOKUP(D92,'List Data'!$A$100:$B$104,2,0)</f>
        <v>0</v>
      </c>
      <c r="F92" s="30"/>
      <c r="G92" s="30"/>
      <c r="H92" s="30"/>
      <c r="I92" s="26" t="str">
        <f>Summary!C$23</f>
        <v>Afghanistan</v>
      </c>
      <c r="J92" s="30"/>
      <c r="K92" s="30" t="s">
        <v>213</v>
      </c>
      <c r="L92" s="30" t="s">
        <v>213</v>
      </c>
      <c r="M92" s="37">
        <f>T92*Summary!$H$27</f>
        <v>0</v>
      </c>
      <c r="N92" s="37">
        <f>U92*Summary!$H$25</f>
        <v>0</v>
      </c>
      <c r="O92" s="5">
        <f>VLOOKUP(L92,'List Data'!A$2:C$94,3,0)</f>
        <v>0</v>
      </c>
      <c r="P92" s="5" t="str">
        <f>VLOOKUP(L92,'List Data'!A$2:B$94,2,0)</f>
        <v>--------</v>
      </c>
      <c r="Q92" s="5">
        <f t="shared" si="14"/>
        <v>10.7</v>
      </c>
      <c r="R92" s="5">
        <f t="shared" si="15"/>
        <v>50</v>
      </c>
      <c r="S92" s="5">
        <f t="shared" si="16"/>
        <v>0</v>
      </c>
      <c r="T92" s="5">
        <f t="shared" si="17"/>
        <v>0</v>
      </c>
      <c r="U92" s="5">
        <f t="shared" si="18"/>
        <v>0</v>
      </c>
      <c r="V92" s="5">
        <f>(IF(AND((O92="OP"),(K92="Child (0-7 years)")),VLOOKUP(($R92*(F92/1000000)),'OP Values'!$A$1:$Q$35,7),))*E92</f>
        <v>0</v>
      </c>
      <c r="W92" s="5">
        <f>(IF(O92="OP",VLOOKUP(($R92*(F92/1000000)),'OP Values'!$A$1:$Q$35,17),))*E92</f>
        <v>0</v>
      </c>
      <c r="X92" s="5">
        <f>(IF(AND((O92="Pb"),(K92="Child (0-7 years)")),(VLOOKUP(F92,Pb!$A$1:$AV$103,13)),0))*E92</f>
        <v>0</v>
      </c>
      <c r="Y92" s="5">
        <f>(IF(AND((O92="Pb"),(K92="Child (0-7 years)")),(VLOOKUP(F92,Pb!$A$2:$AV$103,22)),0))*E92</f>
        <v>0</v>
      </c>
      <c r="Z92" s="5">
        <f>(IF(AND((O92="Pb"),(K92="Adult (&gt; 15 years)")),(VLOOKUP(F92,Pb!$A$2:$AV$103,48)),0))*E92</f>
        <v>0</v>
      </c>
      <c r="AA92" s="5">
        <f>(IF(AND((O92="Hg"),(K92="Child (0-7 years)")),(VLOOKUP(S92,'Hg Values'!$A$1:$M$30,3)),0))*E92</f>
        <v>0</v>
      </c>
      <c r="AB92" s="5">
        <f>(IF(AND((O92="Hg"),(K92="Child (0-7 years)")),(VLOOKUP(S92,'Hg Values'!$A$1:$M$30,13)),0))*E92</f>
        <v>0</v>
      </c>
      <c r="AC92" s="5">
        <f>((IF(AND((O92="CA"),(K92="Adult (&gt; 15 years)")),(VLOOKUP(L92,CA_ingestion!A$1:J$78,7,0)),0))*((F92/1000000)*R92*70))/14</f>
        <v>0</v>
      </c>
      <c r="AD92" s="5">
        <f t="shared" si="19"/>
        <v>0</v>
      </c>
      <c r="AE92" s="5">
        <f>((IF(AND((O92="CA"),(K92="Adult (&gt; 15 years)")),(AD92*(VLOOKUP(L92,CA_ingestion!A$1:J$78,10,0))),0)))</f>
        <v>0</v>
      </c>
      <c r="AF92" s="5">
        <f t="shared" si="20"/>
        <v>0</v>
      </c>
      <c r="AG92" s="5">
        <f t="shared" si="21"/>
        <v>0</v>
      </c>
    </row>
    <row r="93" spans="1:33">
      <c r="A93" s="30"/>
      <c r="B93" s="30"/>
      <c r="C93" s="30"/>
      <c r="D93" s="29" t="s">
        <v>369</v>
      </c>
      <c r="E93" s="35">
        <f>VLOOKUP(D93,'List Data'!$A$100:$B$104,2,0)</f>
        <v>0</v>
      </c>
      <c r="F93" s="30"/>
      <c r="G93" s="30"/>
      <c r="H93" s="30"/>
      <c r="I93" s="26" t="str">
        <f>Summary!C$23</f>
        <v>Afghanistan</v>
      </c>
      <c r="J93" s="30"/>
      <c r="K93" s="30" t="s">
        <v>213</v>
      </c>
      <c r="L93" s="30" t="s">
        <v>213</v>
      </c>
      <c r="M93" s="37">
        <f>T93*Summary!$H$27</f>
        <v>0</v>
      </c>
      <c r="N93" s="37">
        <f>U93*Summary!$H$25</f>
        <v>0</v>
      </c>
      <c r="O93" s="5">
        <f>VLOOKUP(L93,'List Data'!A$2:C$94,3,0)</f>
        <v>0</v>
      </c>
      <c r="P93" s="5" t="str">
        <f>VLOOKUP(L93,'List Data'!A$2:B$94,2,0)</f>
        <v>--------</v>
      </c>
      <c r="Q93" s="5">
        <f t="shared" si="14"/>
        <v>10.7</v>
      </c>
      <c r="R93" s="5">
        <f t="shared" si="15"/>
        <v>50</v>
      </c>
      <c r="S93" s="5">
        <f t="shared" si="16"/>
        <v>0</v>
      </c>
      <c r="T93" s="5">
        <f t="shared" si="17"/>
        <v>0</v>
      </c>
      <c r="U93" s="5">
        <f t="shared" si="18"/>
        <v>0</v>
      </c>
      <c r="V93" s="5">
        <f>(IF(AND((O93="OP"),(K93="Child (0-7 years)")),VLOOKUP(($R93*(F93/1000000)),'OP Values'!$A$1:$Q$35,7),))*E93</f>
        <v>0</v>
      </c>
      <c r="W93" s="5">
        <f>(IF(O93="OP",VLOOKUP(($R93*(F93/1000000)),'OP Values'!$A$1:$Q$35,17),))*E93</f>
        <v>0</v>
      </c>
      <c r="X93" s="5">
        <f>(IF(AND((O93="Pb"),(K93="Child (0-7 years)")),(VLOOKUP(F93,Pb!$A$1:$AV$103,13)),0))*E93</f>
        <v>0</v>
      </c>
      <c r="Y93" s="5">
        <f>(IF(AND((O93="Pb"),(K93="Child (0-7 years)")),(VLOOKUP(F93,Pb!$A$2:$AV$103,22)),0))*E93</f>
        <v>0</v>
      </c>
      <c r="Z93" s="5">
        <f>(IF(AND((O93="Pb"),(K93="Adult (&gt; 15 years)")),(VLOOKUP(F93,Pb!$A$2:$AV$103,48)),0))*E93</f>
        <v>0</v>
      </c>
      <c r="AA93" s="5">
        <f>(IF(AND((O93="Hg"),(K93="Child (0-7 years)")),(VLOOKUP(S93,'Hg Values'!$A$1:$M$30,3)),0))*E93</f>
        <v>0</v>
      </c>
      <c r="AB93" s="5">
        <f>(IF(AND((O93="Hg"),(K93="Child (0-7 years)")),(VLOOKUP(S93,'Hg Values'!$A$1:$M$30,13)),0))*E93</f>
        <v>0</v>
      </c>
      <c r="AC93" s="5">
        <f>((IF(AND((O93="CA"),(K93="Adult (&gt; 15 years)")),(VLOOKUP(L93,CA_ingestion!A$1:J$78,7,0)),0))*((F93/1000000)*R93*70))/14</f>
        <v>0</v>
      </c>
      <c r="AD93" s="5">
        <f t="shared" si="19"/>
        <v>0</v>
      </c>
      <c r="AE93" s="5">
        <f>((IF(AND((O93="CA"),(K93="Adult (&gt; 15 years)")),(AD93*(VLOOKUP(L93,CA_ingestion!A$1:J$78,10,0))),0)))</f>
        <v>0</v>
      </c>
      <c r="AF93" s="5">
        <f t="shared" si="20"/>
        <v>0</v>
      </c>
      <c r="AG93" s="5">
        <f t="shared" si="21"/>
        <v>0</v>
      </c>
    </row>
    <row r="94" spans="1:33">
      <c r="A94" s="30"/>
      <c r="B94" s="30"/>
      <c r="C94" s="30"/>
      <c r="D94" s="29" t="s">
        <v>369</v>
      </c>
      <c r="E94" s="35">
        <f>VLOOKUP(D94,'List Data'!$A$100:$B$104,2,0)</f>
        <v>0</v>
      </c>
      <c r="F94" s="30"/>
      <c r="G94" s="30"/>
      <c r="H94" s="30"/>
      <c r="I94" s="26" t="str">
        <f>Summary!C$23</f>
        <v>Afghanistan</v>
      </c>
      <c r="J94" s="30"/>
      <c r="K94" s="30" t="s">
        <v>213</v>
      </c>
      <c r="L94" s="30" t="s">
        <v>213</v>
      </c>
      <c r="M94" s="37">
        <f>T94*Summary!$H$27</f>
        <v>0</v>
      </c>
      <c r="N94" s="37">
        <f>U94*Summary!$H$25</f>
        <v>0</v>
      </c>
      <c r="O94" s="5">
        <f>VLOOKUP(L94,'List Data'!A$2:C$94,3,0)</f>
        <v>0</v>
      </c>
      <c r="P94" s="5" t="str">
        <f>VLOOKUP(L94,'List Data'!A$2:B$94,2,0)</f>
        <v>--------</v>
      </c>
      <c r="Q94" s="5">
        <f t="shared" si="14"/>
        <v>10.7</v>
      </c>
      <c r="R94" s="5">
        <f t="shared" si="15"/>
        <v>50</v>
      </c>
      <c r="S94" s="5">
        <f t="shared" si="16"/>
        <v>0</v>
      </c>
      <c r="T94" s="5">
        <f t="shared" si="17"/>
        <v>0</v>
      </c>
      <c r="U94" s="5">
        <f t="shared" si="18"/>
        <v>0</v>
      </c>
      <c r="V94" s="5">
        <f>(IF(AND((O94="OP"),(K94="Child (0-7 years)")),VLOOKUP(($R94*(F94/1000000)),'OP Values'!$A$1:$Q$35,7),))*E94</f>
        <v>0</v>
      </c>
      <c r="W94" s="5">
        <f>(IF(O94="OP",VLOOKUP(($R94*(F94/1000000)),'OP Values'!$A$1:$Q$35,17),))*E94</f>
        <v>0</v>
      </c>
      <c r="X94" s="5">
        <f>(IF(AND((O94="Pb"),(K94="Child (0-7 years)")),(VLOOKUP(F94,Pb!$A$1:$AV$103,13)),0))*E94</f>
        <v>0</v>
      </c>
      <c r="Y94" s="5">
        <f>(IF(AND((O94="Pb"),(K94="Child (0-7 years)")),(VLOOKUP(F94,Pb!$A$2:$AV$103,22)),0))*E94</f>
        <v>0</v>
      </c>
      <c r="Z94" s="5">
        <f>(IF(AND((O94="Pb"),(K94="Adult (&gt; 15 years)")),(VLOOKUP(F94,Pb!$A$2:$AV$103,48)),0))*E94</f>
        <v>0</v>
      </c>
      <c r="AA94" s="5">
        <f>(IF(AND((O94="Hg"),(K94="Child (0-7 years)")),(VLOOKUP(S94,'Hg Values'!$A$1:$M$30,3)),0))*E94</f>
        <v>0</v>
      </c>
      <c r="AB94" s="5">
        <f>(IF(AND((O94="Hg"),(K94="Child (0-7 years)")),(VLOOKUP(S94,'Hg Values'!$A$1:$M$30,13)),0))*E94</f>
        <v>0</v>
      </c>
      <c r="AC94" s="5">
        <f>((IF(AND((O94="CA"),(K94="Adult (&gt; 15 years)")),(VLOOKUP(L94,CA_ingestion!A$1:J$78,7,0)),0))*((F94/1000000)*R94*70))/14</f>
        <v>0</v>
      </c>
      <c r="AD94" s="5">
        <f t="shared" si="19"/>
        <v>0</v>
      </c>
      <c r="AE94" s="5">
        <f>((IF(AND((O94="CA"),(K94="Adult (&gt; 15 years)")),(AD94*(VLOOKUP(L94,CA_ingestion!A$1:J$78,10,0))),0)))</f>
        <v>0</v>
      </c>
      <c r="AF94" s="5">
        <f t="shared" si="20"/>
        <v>0</v>
      </c>
      <c r="AG94" s="5">
        <f t="shared" si="21"/>
        <v>0</v>
      </c>
    </row>
    <row r="95" spans="1:33">
      <c r="A95" s="30"/>
      <c r="B95" s="30"/>
      <c r="C95" s="30"/>
      <c r="D95" s="29" t="s">
        <v>369</v>
      </c>
      <c r="E95" s="35">
        <f>VLOOKUP(D95,'List Data'!$A$100:$B$104,2,0)</f>
        <v>0</v>
      </c>
      <c r="F95" s="30"/>
      <c r="G95" s="30"/>
      <c r="H95" s="30"/>
      <c r="I95" s="26" t="str">
        <f>Summary!C$23</f>
        <v>Afghanistan</v>
      </c>
      <c r="J95" s="30"/>
      <c r="K95" s="30" t="s">
        <v>213</v>
      </c>
      <c r="L95" s="30" t="s">
        <v>213</v>
      </c>
      <c r="M95" s="37">
        <f>T95*Summary!$H$27</f>
        <v>0</v>
      </c>
      <c r="N95" s="37">
        <f>U95*Summary!$H$25</f>
        <v>0</v>
      </c>
      <c r="O95" s="5">
        <f>VLOOKUP(L95,'List Data'!A$2:C$94,3,0)</f>
        <v>0</v>
      </c>
      <c r="P95" s="5" t="str">
        <f>VLOOKUP(L95,'List Data'!A$2:B$94,2,0)</f>
        <v>--------</v>
      </c>
      <c r="Q95" s="5">
        <f t="shared" si="14"/>
        <v>10.7</v>
      </c>
      <c r="R95" s="5">
        <f t="shared" si="15"/>
        <v>50</v>
      </c>
      <c r="S95" s="5">
        <f t="shared" si="16"/>
        <v>0</v>
      </c>
      <c r="T95" s="5">
        <f t="shared" si="17"/>
        <v>0</v>
      </c>
      <c r="U95" s="5">
        <f t="shared" si="18"/>
        <v>0</v>
      </c>
      <c r="V95" s="5">
        <f>(IF(AND((O95="OP"),(K95="Child (0-7 years)")),VLOOKUP(($R95*(F95/1000000)),'OP Values'!$A$1:$Q$35,7),))*E95</f>
        <v>0</v>
      </c>
      <c r="W95" s="5">
        <f>(IF(O95="OP",VLOOKUP(($R95*(F95/1000000)),'OP Values'!$A$1:$Q$35,17),))*E95</f>
        <v>0</v>
      </c>
      <c r="X95" s="5">
        <f>(IF(AND((O95="Pb"),(K95="Child (0-7 years)")),(VLOOKUP(F95,Pb!$A$1:$AV$103,13)),0))*E95</f>
        <v>0</v>
      </c>
      <c r="Y95" s="5">
        <f>(IF(AND((O95="Pb"),(K95="Child (0-7 years)")),(VLOOKUP(F95,Pb!$A$2:$AV$103,22)),0))*E95</f>
        <v>0</v>
      </c>
      <c r="Z95" s="5">
        <f>(IF(AND((O95="Pb"),(K95="Adult (&gt; 15 years)")),(VLOOKUP(F95,Pb!$A$2:$AV$103,48)),0))*E95</f>
        <v>0</v>
      </c>
      <c r="AA95" s="5">
        <f>(IF(AND((O95="Hg"),(K95="Child (0-7 years)")),(VLOOKUP(S95,'Hg Values'!$A$1:$M$30,3)),0))*E95</f>
        <v>0</v>
      </c>
      <c r="AB95" s="5">
        <f>(IF(AND((O95="Hg"),(K95="Child (0-7 years)")),(VLOOKUP(S95,'Hg Values'!$A$1:$M$30,13)),0))*E95</f>
        <v>0</v>
      </c>
      <c r="AC95" s="5">
        <f>((IF(AND((O95="CA"),(K95="Adult (&gt; 15 years)")),(VLOOKUP(L95,CA_ingestion!A$1:J$78,7,0)),0))*((F95/1000000)*R95*70))/14</f>
        <v>0</v>
      </c>
      <c r="AD95" s="5">
        <f t="shared" si="19"/>
        <v>0</v>
      </c>
      <c r="AE95" s="5">
        <f>((IF(AND((O95="CA"),(K95="Adult (&gt; 15 years)")),(AD95*(VLOOKUP(L95,CA_ingestion!A$1:J$78,10,0))),0)))</f>
        <v>0</v>
      </c>
      <c r="AF95" s="5">
        <f t="shared" si="20"/>
        <v>0</v>
      </c>
      <c r="AG95" s="5">
        <f t="shared" si="21"/>
        <v>0</v>
      </c>
    </row>
    <row r="96" spans="1:33">
      <c r="A96" s="30"/>
      <c r="B96" s="30"/>
      <c r="C96" s="30"/>
      <c r="D96" s="29" t="s">
        <v>369</v>
      </c>
      <c r="E96" s="35">
        <f>VLOOKUP(D96,'List Data'!$A$100:$B$104,2,0)</f>
        <v>0</v>
      </c>
      <c r="F96" s="30"/>
      <c r="G96" s="30"/>
      <c r="H96" s="30"/>
      <c r="I96" s="26" t="str">
        <f>Summary!C$23</f>
        <v>Afghanistan</v>
      </c>
      <c r="J96" s="30"/>
      <c r="K96" s="30" t="s">
        <v>213</v>
      </c>
      <c r="L96" s="30" t="s">
        <v>213</v>
      </c>
      <c r="M96" s="37">
        <f>T96*Summary!$H$27</f>
        <v>0</v>
      </c>
      <c r="N96" s="37">
        <f>U96*Summary!$H$25</f>
        <v>0</v>
      </c>
      <c r="O96" s="5">
        <f>VLOOKUP(L96,'List Data'!A$2:C$94,3,0)</f>
        <v>0</v>
      </c>
      <c r="P96" s="5" t="str">
        <f>VLOOKUP(L96,'List Data'!A$2:B$94,2,0)</f>
        <v>--------</v>
      </c>
      <c r="Q96" s="5">
        <f t="shared" si="14"/>
        <v>10.7</v>
      </c>
      <c r="R96" s="5">
        <f t="shared" si="15"/>
        <v>50</v>
      </c>
      <c r="S96" s="5">
        <f t="shared" si="16"/>
        <v>0</v>
      </c>
      <c r="T96" s="5">
        <f t="shared" si="17"/>
        <v>0</v>
      </c>
      <c r="U96" s="5">
        <f t="shared" si="18"/>
        <v>0</v>
      </c>
      <c r="V96" s="5">
        <f>(IF(AND((O96="OP"),(K96="Child (0-7 years)")),VLOOKUP(($R96*(F96/1000000)),'OP Values'!$A$1:$Q$35,7),))*E96</f>
        <v>0</v>
      </c>
      <c r="W96" s="5">
        <f>(IF(O96="OP",VLOOKUP(($R96*(F96/1000000)),'OP Values'!$A$1:$Q$35,17),))*E96</f>
        <v>0</v>
      </c>
      <c r="X96" s="5">
        <f>(IF(AND((O96="Pb"),(K96="Child (0-7 years)")),(VLOOKUP(F96,Pb!$A$1:$AV$103,13)),0))*E96</f>
        <v>0</v>
      </c>
      <c r="Y96" s="5">
        <f>(IF(AND((O96="Pb"),(K96="Child (0-7 years)")),(VLOOKUP(F96,Pb!$A$2:$AV$103,22)),0))*E96</f>
        <v>0</v>
      </c>
      <c r="Z96" s="5">
        <f>(IF(AND((O96="Pb"),(K96="Adult (&gt; 15 years)")),(VLOOKUP(F96,Pb!$A$2:$AV$103,48)),0))*E96</f>
        <v>0</v>
      </c>
      <c r="AA96" s="5">
        <f>(IF(AND((O96="Hg"),(K96="Child (0-7 years)")),(VLOOKUP(S96,'Hg Values'!$A$1:$M$30,3)),0))*E96</f>
        <v>0</v>
      </c>
      <c r="AB96" s="5">
        <f>(IF(AND((O96="Hg"),(K96="Child (0-7 years)")),(VLOOKUP(S96,'Hg Values'!$A$1:$M$30,13)),0))*E96</f>
        <v>0</v>
      </c>
      <c r="AC96" s="5">
        <f>((IF(AND((O96="CA"),(K96="Adult (&gt; 15 years)")),(VLOOKUP(L96,CA_ingestion!A$1:J$78,7,0)),0))*((F96/1000000)*R96*70))/14</f>
        <v>0</v>
      </c>
      <c r="AD96" s="5">
        <f t="shared" si="19"/>
        <v>0</v>
      </c>
      <c r="AE96" s="5">
        <f>((IF(AND((O96="CA"),(K96="Adult (&gt; 15 years)")),(AD96*(VLOOKUP(L96,CA_ingestion!A$1:J$78,10,0))),0)))</f>
        <v>0</v>
      </c>
      <c r="AF96" s="5">
        <f t="shared" si="20"/>
        <v>0</v>
      </c>
      <c r="AG96" s="5">
        <f t="shared" si="21"/>
        <v>0</v>
      </c>
    </row>
    <row r="97" spans="1:33">
      <c r="A97" s="30"/>
      <c r="B97" s="30"/>
      <c r="C97" s="30"/>
      <c r="D97" s="29" t="s">
        <v>369</v>
      </c>
      <c r="E97" s="35">
        <f>VLOOKUP(D97,'List Data'!$A$100:$B$104,2,0)</f>
        <v>0</v>
      </c>
      <c r="F97" s="30"/>
      <c r="G97" s="30"/>
      <c r="H97" s="30"/>
      <c r="I97" s="26" t="str">
        <f>Summary!C$23</f>
        <v>Afghanistan</v>
      </c>
      <c r="J97" s="30"/>
      <c r="K97" s="30" t="s">
        <v>213</v>
      </c>
      <c r="L97" s="30" t="s">
        <v>213</v>
      </c>
      <c r="M97" s="37">
        <f>T97*Summary!$H$27</f>
        <v>0</v>
      </c>
      <c r="N97" s="37">
        <f>U97*Summary!$H$25</f>
        <v>0</v>
      </c>
      <c r="O97" s="5">
        <f>VLOOKUP(L97,'List Data'!A$2:C$94,3,0)</f>
        <v>0</v>
      </c>
      <c r="P97" s="5" t="str">
        <f>VLOOKUP(L97,'List Data'!A$2:B$94,2,0)</f>
        <v>--------</v>
      </c>
      <c r="Q97" s="5">
        <f t="shared" si="14"/>
        <v>10.7</v>
      </c>
      <c r="R97" s="5">
        <f t="shared" si="15"/>
        <v>50</v>
      </c>
      <c r="S97" s="5">
        <f t="shared" si="16"/>
        <v>0</v>
      </c>
      <c r="T97" s="5">
        <f t="shared" si="17"/>
        <v>0</v>
      </c>
      <c r="U97" s="5">
        <f t="shared" si="18"/>
        <v>0</v>
      </c>
      <c r="V97" s="5">
        <f>(IF(AND((O97="OP"),(K97="Child (0-7 years)")),VLOOKUP(($R97*(F97/1000000)),'OP Values'!$A$1:$Q$35,7),))*E97</f>
        <v>0</v>
      </c>
      <c r="W97" s="5">
        <f>(IF(O97="OP",VLOOKUP(($R97*(F97/1000000)),'OP Values'!$A$1:$Q$35,17),))*E97</f>
        <v>0</v>
      </c>
      <c r="X97" s="5">
        <f>(IF(AND((O97="Pb"),(K97="Child (0-7 years)")),(VLOOKUP(F97,Pb!$A$1:$AV$103,13)),0))*E97</f>
        <v>0</v>
      </c>
      <c r="Y97" s="5">
        <f>(IF(AND((O97="Pb"),(K97="Child (0-7 years)")),(VLOOKUP(F97,Pb!$A$2:$AV$103,22)),0))*E97</f>
        <v>0</v>
      </c>
      <c r="Z97" s="5">
        <f>(IF(AND((O97="Pb"),(K97="Adult (&gt; 15 years)")),(VLOOKUP(F97,Pb!$A$2:$AV$103,48)),0))*E97</f>
        <v>0</v>
      </c>
      <c r="AA97" s="5">
        <f>(IF(AND((O97="Hg"),(K97="Child (0-7 years)")),(VLOOKUP(S97,'Hg Values'!$A$1:$M$30,3)),0))*E97</f>
        <v>0</v>
      </c>
      <c r="AB97" s="5">
        <f>(IF(AND((O97="Hg"),(K97="Child (0-7 years)")),(VLOOKUP(S97,'Hg Values'!$A$1:$M$30,13)),0))*E97</f>
        <v>0</v>
      </c>
      <c r="AC97" s="5">
        <f>((IF(AND((O97="CA"),(K97="Adult (&gt; 15 years)")),(VLOOKUP(L97,CA_ingestion!A$1:J$78,7,0)),0))*((F97/1000000)*R97*70))/14</f>
        <v>0</v>
      </c>
      <c r="AD97" s="5">
        <f t="shared" si="19"/>
        <v>0</v>
      </c>
      <c r="AE97" s="5">
        <f>((IF(AND((O97="CA"),(K97="Adult (&gt; 15 years)")),(AD97*(VLOOKUP(L97,CA_ingestion!A$1:J$78,10,0))),0)))</f>
        <v>0</v>
      </c>
      <c r="AF97" s="5">
        <f t="shared" si="20"/>
        <v>0</v>
      </c>
      <c r="AG97" s="5">
        <f t="shared" si="21"/>
        <v>0</v>
      </c>
    </row>
    <row r="98" spans="1:33">
      <c r="A98" s="30"/>
      <c r="B98" s="30"/>
      <c r="C98" s="30"/>
      <c r="D98" s="29" t="s">
        <v>369</v>
      </c>
      <c r="E98" s="35">
        <f>VLOOKUP(D98,'List Data'!$A$100:$B$104,2,0)</f>
        <v>0</v>
      </c>
      <c r="F98" s="30"/>
      <c r="G98" s="30"/>
      <c r="H98" s="30"/>
      <c r="I98" s="26" t="str">
        <f>Summary!C$23</f>
        <v>Afghanistan</v>
      </c>
      <c r="J98" s="30"/>
      <c r="K98" s="30" t="s">
        <v>213</v>
      </c>
      <c r="L98" s="30" t="s">
        <v>213</v>
      </c>
      <c r="M98" s="37">
        <f>T98*Summary!$H$27</f>
        <v>0</v>
      </c>
      <c r="N98" s="37">
        <f>U98*Summary!$H$25</f>
        <v>0</v>
      </c>
      <c r="O98" s="5">
        <f>VLOOKUP(L98,'List Data'!A$2:C$94,3,0)</f>
        <v>0</v>
      </c>
      <c r="P98" s="5" t="str">
        <f>VLOOKUP(L98,'List Data'!A$2:B$94,2,0)</f>
        <v>--------</v>
      </c>
      <c r="Q98" s="5">
        <f t="shared" si="14"/>
        <v>10.7</v>
      </c>
      <c r="R98" s="5">
        <f t="shared" si="15"/>
        <v>50</v>
      </c>
      <c r="S98" s="5">
        <f t="shared" si="16"/>
        <v>0</v>
      </c>
      <c r="T98" s="5">
        <f t="shared" si="17"/>
        <v>0</v>
      </c>
      <c r="U98" s="5">
        <f t="shared" si="18"/>
        <v>0</v>
      </c>
      <c r="V98" s="5">
        <f>(IF(AND((O98="OP"),(K98="Child (0-7 years)")),VLOOKUP(($R98*(F98/1000000)),'OP Values'!$A$1:$Q$35,7),))*E98</f>
        <v>0</v>
      </c>
      <c r="W98" s="5">
        <f>(IF(O98="OP",VLOOKUP(($R98*(F98/1000000)),'OP Values'!$A$1:$Q$35,17),))*E98</f>
        <v>0</v>
      </c>
      <c r="X98" s="5">
        <f>(IF(AND((O98="Pb"),(K98="Child (0-7 years)")),(VLOOKUP(F98,Pb!$A$1:$AV$103,13)),0))*E98</f>
        <v>0</v>
      </c>
      <c r="Y98" s="5">
        <f>(IF(AND((O98="Pb"),(K98="Child (0-7 years)")),(VLOOKUP(F98,Pb!$A$2:$AV$103,22)),0))*E98</f>
        <v>0</v>
      </c>
      <c r="Z98" s="5">
        <f>(IF(AND((O98="Pb"),(K98="Adult (&gt; 15 years)")),(VLOOKUP(F98,Pb!$A$2:$AV$103,48)),0))*E98</f>
        <v>0</v>
      </c>
      <c r="AA98" s="5">
        <f>(IF(AND((O98="Hg"),(K98="Child (0-7 years)")),(VLOOKUP(S98,'Hg Values'!$A$1:$M$30,3)),0))*E98</f>
        <v>0</v>
      </c>
      <c r="AB98" s="5">
        <f>(IF(AND((O98="Hg"),(K98="Child (0-7 years)")),(VLOOKUP(S98,'Hg Values'!$A$1:$M$30,13)),0))*E98</f>
        <v>0</v>
      </c>
      <c r="AC98" s="5">
        <f>((IF(AND((O98="CA"),(K98="Adult (&gt; 15 years)")),(VLOOKUP(L98,CA_ingestion!A$1:J$78,7,0)),0))*((F98/1000000)*R98*70))/14</f>
        <v>0</v>
      </c>
      <c r="AD98" s="5">
        <f t="shared" si="19"/>
        <v>0</v>
      </c>
      <c r="AE98" s="5">
        <f>((IF(AND((O98="CA"),(K98="Adult (&gt; 15 years)")),(AD98*(VLOOKUP(L98,CA_ingestion!A$1:J$78,10,0))),0)))</f>
        <v>0</v>
      </c>
      <c r="AF98" s="5">
        <f t="shared" si="20"/>
        <v>0</v>
      </c>
      <c r="AG98" s="5">
        <f t="shared" si="21"/>
        <v>0</v>
      </c>
    </row>
    <row r="99" spans="1:33">
      <c r="A99" s="30"/>
      <c r="B99" s="30"/>
      <c r="C99" s="30"/>
      <c r="D99" s="29" t="s">
        <v>369</v>
      </c>
      <c r="E99" s="35">
        <f>VLOOKUP(D99,'List Data'!$A$100:$B$104,2,0)</f>
        <v>0</v>
      </c>
      <c r="F99" s="30"/>
      <c r="G99" s="30"/>
      <c r="H99" s="30"/>
      <c r="I99" s="26" t="str">
        <f>Summary!C$23</f>
        <v>Afghanistan</v>
      </c>
      <c r="J99" s="30"/>
      <c r="K99" s="30" t="s">
        <v>213</v>
      </c>
      <c r="L99" s="30" t="s">
        <v>213</v>
      </c>
      <c r="M99" s="37">
        <f>T99*Summary!$H$27</f>
        <v>0</v>
      </c>
      <c r="N99" s="37">
        <f>U99*Summary!$H$25</f>
        <v>0</v>
      </c>
      <c r="O99" s="5">
        <f>VLOOKUP(L99,'List Data'!A$2:C$94,3,0)</f>
        <v>0</v>
      </c>
      <c r="P99" s="5" t="str">
        <f>VLOOKUP(L99,'List Data'!A$2:B$94,2,0)</f>
        <v>--------</v>
      </c>
      <c r="Q99" s="5">
        <f t="shared" si="14"/>
        <v>10.7</v>
      </c>
      <c r="R99" s="5">
        <f t="shared" si="15"/>
        <v>50</v>
      </c>
      <c r="S99" s="5">
        <f t="shared" si="16"/>
        <v>0</v>
      </c>
      <c r="T99" s="5">
        <f t="shared" si="17"/>
        <v>0</v>
      </c>
      <c r="U99" s="5">
        <f t="shared" si="18"/>
        <v>0</v>
      </c>
      <c r="V99" s="5">
        <f>(IF(AND((O99="OP"),(K99="Child (0-7 years)")),VLOOKUP(($R99*(F99/1000000)),'OP Values'!$A$1:$Q$35,7),))*E99</f>
        <v>0</v>
      </c>
      <c r="W99" s="5">
        <f>(IF(O99="OP",VLOOKUP(($R99*(F99/1000000)),'OP Values'!$A$1:$Q$35,17),))*E99</f>
        <v>0</v>
      </c>
      <c r="X99" s="5">
        <f>(IF(AND((O99="Pb"),(K99="Child (0-7 years)")),(VLOOKUP(F99,Pb!$A$1:$AV$103,13)),0))*E99</f>
        <v>0</v>
      </c>
      <c r="Y99" s="5">
        <f>(IF(AND((O99="Pb"),(K99="Child (0-7 years)")),(VLOOKUP(F99,Pb!$A$2:$AV$103,22)),0))*E99</f>
        <v>0</v>
      </c>
      <c r="Z99" s="5">
        <f>(IF(AND((O99="Pb"),(K99="Adult (&gt; 15 years)")),(VLOOKUP(F99,Pb!$A$2:$AV$103,48)),0))*E99</f>
        <v>0</v>
      </c>
      <c r="AA99" s="5">
        <f>(IF(AND((O99="Hg"),(K99="Child (0-7 years)")),(VLOOKUP(S99,'Hg Values'!$A$1:$M$30,3)),0))*E99</f>
        <v>0</v>
      </c>
      <c r="AB99" s="5">
        <f>(IF(AND((O99="Hg"),(K99="Child (0-7 years)")),(VLOOKUP(S99,'Hg Values'!$A$1:$M$30,13)),0))*E99</f>
        <v>0</v>
      </c>
      <c r="AC99" s="5">
        <f>((IF(AND((O99="CA"),(K99="Adult (&gt; 15 years)")),(VLOOKUP(L99,CA_ingestion!A$1:J$78,7,0)),0))*((F99/1000000)*R99*70))/14</f>
        <v>0</v>
      </c>
      <c r="AD99" s="5">
        <f t="shared" si="19"/>
        <v>0</v>
      </c>
      <c r="AE99" s="5">
        <f>((IF(AND((O99="CA"),(K99="Adult (&gt; 15 years)")),(AD99*(VLOOKUP(L99,CA_ingestion!A$1:J$78,10,0))),0)))</f>
        <v>0</v>
      </c>
      <c r="AF99" s="5">
        <f t="shared" si="20"/>
        <v>0</v>
      </c>
      <c r="AG99" s="5">
        <f t="shared" si="21"/>
        <v>0</v>
      </c>
    </row>
    <row r="100" spans="1:33">
      <c r="A100" s="30"/>
      <c r="B100" s="30"/>
      <c r="C100" s="30"/>
      <c r="D100" s="29" t="s">
        <v>369</v>
      </c>
      <c r="E100" s="35">
        <f>VLOOKUP(D100,'List Data'!$A$100:$B$104,2,0)</f>
        <v>0</v>
      </c>
      <c r="F100" s="30"/>
      <c r="G100" s="30"/>
      <c r="H100" s="30"/>
      <c r="I100" s="26" t="str">
        <f>Summary!C$23</f>
        <v>Afghanistan</v>
      </c>
      <c r="J100" s="30"/>
      <c r="K100" s="30" t="s">
        <v>213</v>
      </c>
      <c r="L100" s="30" t="s">
        <v>213</v>
      </c>
      <c r="M100" s="37">
        <f>T100*Summary!$H$27</f>
        <v>0</v>
      </c>
      <c r="N100" s="37">
        <f>U100*Summary!$H$25</f>
        <v>0</v>
      </c>
      <c r="O100" s="5">
        <f>VLOOKUP(L100,'List Data'!A$2:C$94,3,0)</f>
        <v>0</v>
      </c>
      <c r="P100" s="5" t="str">
        <f>VLOOKUP(L100,'List Data'!A$2:B$94,2,0)</f>
        <v>--------</v>
      </c>
      <c r="Q100" s="5">
        <f t="shared" si="14"/>
        <v>10.7</v>
      </c>
      <c r="R100" s="5">
        <f t="shared" si="15"/>
        <v>50</v>
      </c>
      <c r="S100" s="5">
        <f t="shared" si="16"/>
        <v>0</v>
      </c>
      <c r="T100" s="5">
        <f t="shared" si="17"/>
        <v>0</v>
      </c>
      <c r="U100" s="5">
        <f t="shared" si="18"/>
        <v>0</v>
      </c>
      <c r="V100" s="5">
        <f>(IF(AND((O100="OP"),(K100="Child (0-7 years)")),VLOOKUP(($R100*(F100/1000000)),'OP Values'!$A$1:$Q$35,7),))*E100</f>
        <v>0</v>
      </c>
      <c r="W100" s="5">
        <f>(IF(O100="OP",VLOOKUP(($R100*(F100/1000000)),'OP Values'!$A$1:$Q$35,17),))*E100</f>
        <v>0</v>
      </c>
      <c r="X100" s="5">
        <f>(IF(AND((O100="Pb"),(K100="Child (0-7 years)")),(VLOOKUP(F100,Pb!$A$1:$AV$103,13)),0))*E100</f>
        <v>0</v>
      </c>
      <c r="Y100" s="5">
        <f>(IF(AND((O100="Pb"),(K100="Child (0-7 years)")),(VLOOKUP(F100,Pb!$A$2:$AV$103,22)),0))*E100</f>
        <v>0</v>
      </c>
      <c r="Z100" s="5">
        <f>(IF(AND((O100="Pb"),(K100="Adult (&gt; 15 years)")),(VLOOKUP(F100,Pb!$A$2:$AV$103,48)),0))*E100</f>
        <v>0</v>
      </c>
      <c r="AA100" s="5">
        <f>(IF(AND((O100="Hg"),(K100="Child (0-7 years)")),(VLOOKUP(S100,'Hg Values'!$A$1:$M$30,3)),0))*E100</f>
        <v>0</v>
      </c>
      <c r="AB100" s="5">
        <f>(IF(AND((O100="Hg"),(K100="Child (0-7 years)")),(VLOOKUP(S100,'Hg Values'!$A$1:$M$30,13)),0))*E100</f>
        <v>0</v>
      </c>
      <c r="AC100" s="5">
        <f>((IF(AND((O100="CA"),(K100="Adult (&gt; 15 years)")),(VLOOKUP(L100,CA_ingestion!A$1:J$78,7,0)),0))*((F100/1000000)*R100*70))/14</f>
        <v>0</v>
      </c>
      <c r="AD100" s="5">
        <f t="shared" si="19"/>
        <v>0</v>
      </c>
      <c r="AE100" s="5">
        <f>((IF(AND((O100="CA"),(K100="Adult (&gt; 15 years)")),(AD100*(VLOOKUP(L100,CA_ingestion!A$1:J$78,10,0))),0)))</f>
        <v>0</v>
      </c>
      <c r="AF100" s="5">
        <f t="shared" si="20"/>
        <v>0</v>
      </c>
      <c r="AG100" s="5">
        <f t="shared" si="21"/>
        <v>0</v>
      </c>
    </row>
    <row r="101" spans="1:33">
      <c r="A101" s="30"/>
      <c r="B101" s="30"/>
      <c r="C101" s="30"/>
      <c r="D101" s="29" t="s">
        <v>369</v>
      </c>
      <c r="E101" s="35">
        <f>VLOOKUP(D101,'List Data'!$A$100:$B$104,2,0)</f>
        <v>0</v>
      </c>
      <c r="F101" s="30"/>
      <c r="G101" s="30"/>
      <c r="H101" s="30"/>
      <c r="I101" s="26" t="str">
        <f>Summary!C$23</f>
        <v>Afghanistan</v>
      </c>
      <c r="J101" s="30"/>
      <c r="K101" s="30" t="s">
        <v>213</v>
      </c>
      <c r="L101" s="30" t="s">
        <v>213</v>
      </c>
      <c r="M101" s="37">
        <f>T101*Summary!$H$27</f>
        <v>0</v>
      </c>
      <c r="N101" s="37">
        <f>U101*Summary!$H$25</f>
        <v>0</v>
      </c>
      <c r="O101" s="5">
        <f>VLOOKUP(L101,'List Data'!A$2:C$94,3,0)</f>
        <v>0</v>
      </c>
      <c r="P101" s="5" t="str">
        <f>VLOOKUP(L101,'List Data'!A$2:B$94,2,0)</f>
        <v>--------</v>
      </c>
      <c r="Q101" s="5">
        <f t="shared" si="14"/>
        <v>10.7</v>
      </c>
      <c r="R101" s="5">
        <f t="shared" si="15"/>
        <v>50</v>
      </c>
      <c r="S101" s="5">
        <f t="shared" si="16"/>
        <v>0</v>
      </c>
      <c r="T101" s="5">
        <f t="shared" si="17"/>
        <v>0</v>
      </c>
      <c r="U101" s="5">
        <f t="shared" si="18"/>
        <v>0</v>
      </c>
      <c r="V101" s="5">
        <f>(IF(AND((O101="OP"),(K101="Child (0-7 years)")),VLOOKUP(($R101*(F101/1000000)),'OP Values'!$A$1:$Q$35,7),))*E101</f>
        <v>0</v>
      </c>
      <c r="W101" s="5">
        <f>(IF(O101="OP",VLOOKUP(($R101*(F101/1000000)),'OP Values'!$A$1:$Q$35,17),))*E101</f>
        <v>0</v>
      </c>
      <c r="X101" s="5">
        <f>(IF(AND((O101="Pb"),(K101="Child (0-7 years)")),(VLOOKUP(F101,Pb!$A$1:$AV$103,13)),0))*E101</f>
        <v>0</v>
      </c>
      <c r="Y101" s="5">
        <f>(IF(AND((O101="Pb"),(K101="Child (0-7 years)")),(VLOOKUP(F101,Pb!$A$2:$AV$103,22)),0))*E101</f>
        <v>0</v>
      </c>
      <c r="Z101" s="5">
        <f>(IF(AND((O101="Pb"),(K101="Adult (&gt; 15 years)")),(VLOOKUP(F101,Pb!$A$2:$AV$103,48)),0))*E101</f>
        <v>0</v>
      </c>
      <c r="AA101" s="5">
        <f>(IF(AND((O101="Hg"),(K101="Child (0-7 years)")),(VLOOKUP(S101,'Hg Values'!$A$1:$M$30,3)),0))*E101</f>
        <v>0</v>
      </c>
      <c r="AB101" s="5">
        <f>(IF(AND((O101="Hg"),(K101="Child (0-7 years)")),(VLOOKUP(S101,'Hg Values'!$A$1:$M$30,13)),0))*E101</f>
        <v>0</v>
      </c>
      <c r="AC101" s="5">
        <f>((IF(AND((O101="CA"),(K101="Adult (&gt; 15 years)")),(VLOOKUP(L101,CA_ingestion!A$1:J$78,7,0)),0))*((F101/1000000)*R101*70))/14</f>
        <v>0</v>
      </c>
      <c r="AD101" s="5">
        <f t="shared" si="19"/>
        <v>0</v>
      </c>
      <c r="AE101" s="5">
        <f>((IF(AND((O101="CA"),(K101="Adult (&gt; 15 years)")),(AD101*(VLOOKUP(L101,CA_ingestion!A$1:J$78,10,0))),0)))</f>
        <v>0</v>
      </c>
      <c r="AF101" s="5">
        <f t="shared" si="20"/>
        <v>0</v>
      </c>
      <c r="AG101" s="5">
        <f t="shared" si="21"/>
        <v>0</v>
      </c>
    </row>
    <row r="102" spans="1:33">
      <c r="A102" s="30"/>
      <c r="B102" s="30"/>
      <c r="C102" s="30"/>
      <c r="D102" s="29" t="s">
        <v>369</v>
      </c>
      <c r="E102" s="35">
        <f>VLOOKUP(D102,'List Data'!$A$100:$B$104,2,0)</f>
        <v>0</v>
      </c>
      <c r="F102" s="30"/>
      <c r="G102" s="30"/>
      <c r="H102" s="30"/>
      <c r="I102" s="26" t="str">
        <f>Summary!C$23</f>
        <v>Afghanistan</v>
      </c>
      <c r="J102" s="30"/>
      <c r="K102" s="30" t="s">
        <v>213</v>
      </c>
      <c r="L102" s="30" t="s">
        <v>213</v>
      </c>
      <c r="M102" s="37">
        <f>T102*Summary!$H$27</f>
        <v>0</v>
      </c>
      <c r="N102" s="37">
        <f>U102*Summary!$H$25</f>
        <v>0</v>
      </c>
      <c r="O102" s="5">
        <f>VLOOKUP(L102,'List Data'!A$2:C$94,3,0)</f>
        <v>0</v>
      </c>
      <c r="P102" s="5" t="str">
        <f>VLOOKUP(L102,'List Data'!A$2:B$94,2,0)</f>
        <v>--------</v>
      </c>
      <c r="Q102" s="5">
        <f t="shared" si="14"/>
        <v>10.7</v>
      </c>
      <c r="R102" s="5">
        <f t="shared" si="15"/>
        <v>50</v>
      </c>
      <c r="S102" s="5">
        <f t="shared" si="16"/>
        <v>0</v>
      </c>
      <c r="T102" s="5">
        <f t="shared" si="17"/>
        <v>0</v>
      </c>
      <c r="U102" s="5">
        <f t="shared" si="18"/>
        <v>0</v>
      </c>
      <c r="V102" s="5">
        <f>(IF(AND((O102="OP"),(K102="Child (0-7 years)")),VLOOKUP(($R102*(F102/1000000)),'OP Values'!$A$1:$Q$35,7),))*E102</f>
        <v>0</v>
      </c>
      <c r="W102" s="5">
        <f>(IF(O102="OP",VLOOKUP(($R102*(F102/1000000)),'OP Values'!$A$1:$Q$35,17),))*E102</f>
        <v>0</v>
      </c>
      <c r="X102" s="5">
        <f>(IF(AND((O102="Pb"),(K102="Child (0-7 years)")),(VLOOKUP(F102,Pb!$A$1:$AV$103,13)),0))*E102</f>
        <v>0</v>
      </c>
      <c r="Y102" s="5">
        <f>(IF(AND((O102="Pb"),(K102="Child (0-7 years)")),(VLOOKUP(F102,Pb!$A$2:$AV$103,22)),0))*E102</f>
        <v>0</v>
      </c>
      <c r="Z102" s="5">
        <f>(IF(AND((O102="Pb"),(K102="Adult (&gt; 15 years)")),(VLOOKUP(F102,Pb!$A$2:$AV$103,48)),0))*E102</f>
        <v>0</v>
      </c>
      <c r="AA102" s="5">
        <f>(IF(AND((O102="Hg"),(K102="Child (0-7 years)")),(VLOOKUP(S102,'Hg Values'!$A$1:$M$30,3)),0))*E102</f>
        <v>0</v>
      </c>
      <c r="AB102" s="5">
        <f>(IF(AND((O102="Hg"),(K102="Child (0-7 years)")),(VLOOKUP(S102,'Hg Values'!$A$1:$M$30,13)),0))*E102</f>
        <v>0</v>
      </c>
      <c r="AC102" s="5">
        <f>((IF(AND((O102="CA"),(K102="Adult (&gt; 15 years)")),(VLOOKUP(L102,CA_ingestion!A$1:J$78,7,0)),0))*((F102/1000000)*R102*70))/14</f>
        <v>0</v>
      </c>
      <c r="AD102" s="5">
        <f t="shared" si="19"/>
        <v>0</v>
      </c>
      <c r="AE102" s="5">
        <f>((IF(AND((O102="CA"),(K102="Adult (&gt; 15 years)")),(AD102*(VLOOKUP(L102,CA_ingestion!A$1:J$78,10,0))),0)))</f>
        <v>0</v>
      </c>
      <c r="AF102" s="5">
        <f t="shared" si="20"/>
        <v>0</v>
      </c>
      <c r="AG102" s="5">
        <f t="shared" si="21"/>
        <v>0</v>
      </c>
    </row>
    <row r="103" spans="1:33">
      <c r="A103" s="30"/>
      <c r="B103" s="30"/>
      <c r="C103" s="30"/>
      <c r="D103" s="29" t="s">
        <v>369</v>
      </c>
      <c r="E103" s="35">
        <f>VLOOKUP(D103,'List Data'!$A$100:$B$104,2,0)</f>
        <v>0</v>
      </c>
      <c r="F103" s="30"/>
      <c r="G103" s="30"/>
      <c r="H103" s="30"/>
      <c r="I103" s="26" t="str">
        <f>Summary!C$23</f>
        <v>Afghanistan</v>
      </c>
      <c r="J103" s="30"/>
      <c r="K103" s="30" t="s">
        <v>213</v>
      </c>
      <c r="L103" s="30" t="s">
        <v>213</v>
      </c>
      <c r="M103" s="37">
        <f>T103*Summary!$H$27</f>
        <v>0</v>
      </c>
      <c r="N103" s="37">
        <f>U103*Summary!$H$25</f>
        <v>0</v>
      </c>
      <c r="O103" s="5">
        <f>VLOOKUP(L103,'List Data'!A$2:C$94,3,0)</f>
        <v>0</v>
      </c>
      <c r="P103" s="5" t="str">
        <f>VLOOKUP(L103,'List Data'!A$2:B$94,2,0)</f>
        <v>--------</v>
      </c>
      <c r="Q103" s="5">
        <f t="shared" si="14"/>
        <v>10.7</v>
      </c>
      <c r="R103" s="5">
        <f t="shared" si="15"/>
        <v>50</v>
      </c>
      <c r="S103" s="5">
        <f t="shared" si="16"/>
        <v>0</v>
      </c>
      <c r="T103" s="5">
        <f t="shared" si="17"/>
        <v>0</v>
      </c>
      <c r="U103" s="5">
        <f t="shared" si="18"/>
        <v>0</v>
      </c>
      <c r="V103" s="5">
        <f>(IF(AND((O103="OP"),(K103="Child (0-7 years)")),VLOOKUP(($R103*(F103/1000000)),'OP Values'!$A$1:$Q$35,7),))*E103</f>
        <v>0</v>
      </c>
      <c r="W103" s="5">
        <f>(IF(O103="OP",VLOOKUP(($R103*(F103/1000000)),'OP Values'!$A$1:$Q$35,17),))*E103</f>
        <v>0</v>
      </c>
      <c r="X103" s="5">
        <f>(IF(AND((O103="Pb"),(K103="Child (0-7 years)")),(VLOOKUP(F103,Pb!$A$1:$AV$103,13)),0))*E103</f>
        <v>0</v>
      </c>
      <c r="Y103" s="5">
        <f>(IF(AND((O103="Pb"),(K103="Child (0-7 years)")),(VLOOKUP(F103,Pb!$A$2:$AV$103,22)),0))*E103</f>
        <v>0</v>
      </c>
      <c r="Z103" s="5">
        <f>(IF(AND((O103="Pb"),(K103="Adult (&gt; 15 years)")),(VLOOKUP(F103,Pb!$A$2:$AV$103,48)),0))*E103</f>
        <v>0</v>
      </c>
      <c r="AA103" s="5">
        <f>(IF(AND((O103="Hg"),(K103="Child (0-7 years)")),(VLOOKUP(S103,'Hg Values'!$A$1:$M$30,3)),0))*E103</f>
        <v>0</v>
      </c>
      <c r="AB103" s="5">
        <f>(IF(AND((O103="Hg"),(K103="Child (0-7 years)")),(VLOOKUP(S103,'Hg Values'!$A$1:$M$30,13)),0))*E103</f>
        <v>0</v>
      </c>
      <c r="AC103" s="5">
        <f>((IF(AND((O103="CA"),(K103="Adult (&gt; 15 years)")),(VLOOKUP(L103,CA_ingestion!A$1:J$78,7,0)),0))*((F103/1000000)*R103*70))/14</f>
        <v>0</v>
      </c>
      <c r="AD103" s="5">
        <f t="shared" si="19"/>
        <v>0</v>
      </c>
      <c r="AE103" s="5">
        <f>((IF(AND((O103="CA"),(K103="Adult (&gt; 15 years)")),(AD103*(VLOOKUP(L103,CA_ingestion!A$1:J$78,10,0))),0)))</f>
        <v>0</v>
      </c>
      <c r="AF103" s="5">
        <f t="shared" si="20"/>
        <v>0</v>
      </c>
      <c r="AG103" s="5">
        <f t="shared" si="21"/>
        <v>0</v>
      </c>
    </row>
    <row r="104" spans="1:33">
      <c r="A104" s="30"/>
      <c r="B104" s="30"/>
      <c r="C104" s="30"/>
      <c r="D104" s="29" t="s">
        <v>369</v>
      </c>
      <c r="E104" s="35">
        <f>VLOOKUP(D104,'List Data'!$A$100:$B$104,2,0)</f>
        <v>0</v>
      </c>
      <c r="F104" s="30"/>
      <c r="G104" s="30"/>
      <c r="H104" s="30"/>
      <c r="I104" s="26" t="str">
        <f>Summary!C$23</f>
        <v>Afghanistan</v>
      </c>
      <c r="J104" s="30"/>
      <c r="K104" s="30" t="s">
        <v>213</v>
      </c>
      <c r="L104" s="30" t="s">
        <v>213</v>
      </c>
      <c r="M104" s="37">
        <f>T104*Summary!$H$27</f>
        <v>0</v>
      </c>
      <c r="N104" s="37">
        <f>U104*Summary!$H$25</f>
        <v>0</v>
      </c>
      <c r="O104" s="5">
        <f>VLOOKUP(L104,'List Data'!A$2:C$94,3,0)</f>
        <v>0</v>
      </c>
      <c r="P104" s="5" t="str">
        <f>VLOOKUP(L104,'List Data'!A$2:B$94,2,0)</f>
        <v>--------</v>
      </c>
      <c r="Q104" s="5">
        <f t="shared" si="14"/>
        <v>10.7</v>
      </c>
      <c r="R104" s="5">
        <f t="shared" si="15"/>
        <v>50</v>
      </c>
      <c r="S104" s="5">
        <f t="shared" si="16"/>
        <v>0</v>
      </c>
      <c r="T104" s="5">
        <f t="shared" si="17"/>
        <v>0</v>
      </c>
      <c r="U104" s="5">
        <f t="shared" si="18"/>
        <v>0</v>
      </c>
      <c r="V104" s="5">
        <f>(IF(AND((O104="OP"),(K104="Child (0-7 years)")),VLOOKUP(($R104*(F104/1000000)),'OP Values'!$A$1:$Q$35,7),))*E104</f>
        <v>0</v>
      </c>
      <c r="W104" s="5">
        <f>(IF(O104="OP",VLOOKUP(($R104*(F104/1000000)),'OP Values'!$A$1:$Q$35,17),))*E104</f>
        <v>0</v>
      </c>
      <c r="X104" s="5">
        <f>(IF(AND((O104="Pb"),(K104="Child (0-7 years)")),(VLOOKUP(F104,Pb!$A$1:$AV$103,13)),0))*E104</f>
        <v>0</v>
      </c>
      <c r="Y104" s="5">
        <f>(IF(AND((O104="Pb"),(K104="Child (0-7 years)")),(VLOOKUP(F104,Pb!$A$2:$AV$103,22)),0))*E104</f>
        <v>0</v>
      </c>
      <c r="Z104" s="5">
        <f>(IF(AND((O104="Pb"),(K104="Adult (&gt; 15 years)")),(VLOOKUP(F104,Pb!$A$2:$AV$103,48)),0))*E104</f>
        <v>0</v>
      </c>
      <c r="AA104" s="5">
        <f>(IF(AND((O104="Hg"),(K104="Child (0-7 years)")),(VLOOKUP(S104,'Hg Values'!$A$1:$M$30,3)),0))*E104</f>
        <v>0</v>
      </c>
      <c r="AB104" s="5">
        <f>(IF(AND((O104="Hg"),(K104="Child (0-7 years)")),(VLOOKUP(S104,'Hg Values'!$A$1:$M$30,13)),0))*E104</f>
        <v>0</v>
      </c>
      <c r="AC104" s="5">
        <f>((IF(AND((O104="CA"),(K104="Adult (&gt; 15 years)")),(VLOOKUP(L104,CA_ingestion!A$1:J$78,7,0)),0))*((F104/1000000)*R104*70))/14</f>
        <v>0</v>
      </c>
      <c r="AD104" s="5">
        <f t="shared" si="19"/>
        <v>0</v>
      </c>
      <c r="AE104" s="5">
        <f>((IF(AND((O104="CA"),(K104="Adult (&gt; 15 years)")),(AD104*(VLOOKUP(L104,CA_ingestion!A$1:J$78,10,0))),0)))</f>
        <v>0</v>
      </c>
      <c r="AF104" s="5">
        <f t="shared" si="20"/>
        <v>0</v>
      </c>
      <c r="AG104" s="5">
        <f t="shared" si="21"/>
        <v>0</v>
      </c>
    </row>
    <row r="105" spans="1:33">
      <c r="A105" s="30"/>
      <c r="B105" s="30"/>
      <c r="C105" s="30"/>
      <c r="D105" s="29" t="s">
        <v>369</v>
      </c>
      <c r="E105" s="35">
        <f>VLOOKUP(D105,'List Data'!$A$100:$B$104,2,0)</f>
        <v>0</v>
      </c>
      <c r="F105" s="30"/>
      <c r="G105" s="30"/>
      <c r="H105" s="30"/>
      <c r="I105" s="26" t="str">
        <f>Summary!C$23</f>
        <v>Afghanistan</v>
      </c>
      <c r="J105" s="30"/>
      <c r="K105" s="30" t="s">
        <v>213</v>
      </c>
      <c r="L105" s="30" t="s">
        <v>213</v>
      </c>
      <c r="M105" s="37">
        <f>T105*Summary!$H$27</f>
        <v>0</v>
      </c>
      <c r="N105" s="37">
        <f>U105*Summary!$H$25</f>
        <v>0</v>
      </c>
      <c r="O105" s="5">
        <f>VLOOKUP(L105,'List Data'!A$2:C$94,3,0)</f>
        <v>0</v>
      </c>
      <c r="P105" s="5" t="str">
        <f>VLOOKUP(L105,'List Data'!A$2:B$94,2,0)</f>
        <v>--------</v>
      </c>
      <c r="Q105" s="5">
        <f t="shared" si="14"/>
        <v>10.7</v>
      </c>
      <c r="R105" s="5">
        <f t="shared" si="15"/>
        <v>50</v>
      </c>
      <c r="S105" s="5">
        <f t="shared" si="16"/>
        <v>0</v>
      </c>
      <c r="T105" s="5">
        <f t="shared" si="17"/>
        <v>0</v>
      </c>
      <c r="U105" s="5">
        <f t="shared" si="18"/>
        <v>0</v>
      </c>
      <c r="V105" s="5">
        <f>(IF(AND((O105="OP"),(K105="Child (0-7 years)")),VLOOKUP(($R105*(F105/1000000)),'OP Values'!$A$1:$Q$35,7),))*E105</f>
        <v>0</v>
      </c>
      <c r="W105" s="5">
        <f>(IF(O105="OP",VLOOKUP(($R105*(F105/1000000)),'OP Values'!$A$1:$Q$35,17),))*E105</f>
        <v>0</v>
      </c>
      <c r="X105" s="5">
        <f>(IF(AND((O105="Pb"),(K105="Child (0-7 years)")),(VLOOKUP(F105,Pb!$A$1:$AV$103,13)),0))*E105</f>
        <v>0</v>
      </c>
      <c r="Y105" s="5">
        <f>(IF(AND((O105="Pb"),(K105="Child (0-7 years)")),(VLOOKUP(F105,Pb!$A$2:$AV$103,22)),0))*E105</f>
        <v>0</v>
      </c>
      <c r="Z105" s="5">
        <f>(IF(AND((O105="Pb"),(K105="Adult (&gt; 15 years)")),(VLOOKUP(F105,Pb!$A$2:$AV$103,48)),0))*E105</f>
        <v>0</v>
      </c>
      <c r="AA105" s="5">
        <f>(IF(AND((O105="Hg"),(K105="Child (0-7 years)")),(VLOOKUP(S105,'Hg Values'!$A$1:$M$30,3)),0))*E105</f>
        <v>0</v>
      </c>
      <c r="AB105" s="5">
        <f>(IF(AND((O105="Hg"),(K105="Child (0-7 years)")),(VLOOKUP(S105,'Hg Values'!$A$1:$M$30,13)),0))*E105</f>
        <v>0</v>
      </c>
      <c r="AC105" s="5">
        <f>((IF(AND((O105="CA"),(K105="Adult (&gt; 15 years)")),(VLOOKUP(L105,CA_ingestion!A$1:J$78,7,0)),0))*((F105/1000000)*R105*70))/14</f>
        <v>0</v>
      </c>
      <c r="AD105" s="5">
        <f t="shared" si="19"/>
        <v>0</v>
      </c>
      <c r="AE105" s="5">
        <f>((IF(AND((O105="CA"),(K105="Adult (&gt; 15 years)")),(AD105*(VLOOKUP(L105,CA_ingestion!A$1:J$78,10,0))),0)))</f>
        <v>0</v>
      </c>
      <c r="AF105" s="5">
        <f t="shared" si="20"/>
        <v>0</v>
      </c>
      <c r="AG105" s="5">
        <f t="shared" si="21"/>
        <v>0</v>
      </c>
    </row>
    <row r="106" spans="1:33">
      <c r="K106" s="30"/>
      <c r="L106" s="30"/>
      <c r="M106" s="30"/>
      <c r="N106" s="30"/>
    </row>
  </sheetData>
  <dataValidations count="3">
    <dataValidation type="decimal" allowBlank="1" showInputMessage="1" showErrorMessage="1" sqref="B5:B105" xr:uid="{AD1C0991-31AB-4A58-8E33-B189D18C0B1F}">
      <formula1>-90</formula1>
      <formula2>90</formula2>
    </dataValidation>
    <dataValidation type="decimal" allowBlank="1" showInputMessage="1" showErrorMessage="1" sqref="C5:C105" xr:uid="{75D1F8B1-7A28-4D67-A58A-DF3D05652713}">
      <formula1>-180</formula1>
      <formula2>180</formula2>
    </dataValidation>
    <dataValidation type="decimal" allowBlank="1" showInputMessage="1" showErrorMessage="1" sqref="F5:F105" xr:uid="{E2B3DE94-D144-47BC-8FBF-5D2F75EE2A35}">
      <formula1>0</formula1>
      <formula2>20000</formula2>
    </dataValidation>
  </dataValidations>
  <pageMargins left="0.7" right="0.7" top="0.75" bottom="0.75" header="0.3" footer="0.3"/>
  <pageSetup orientation="portrait" horizontalDpi="4294967292" verticalDpi="4294967292"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0000000}">
          <x14:formula1>
            <xm:f>'List Data'!$A$96:$A$98</xm:f>
          </x14:formula1>
          <xm:sqref>K5:K105</xm:sqref>
        </x14:dataValidation>
        <x14:dataValidation type="list" allowBlank="1" showInputMessage="1" showErrorMessage="1" xr:uid="{00000000-0002-0000-0300-000001000000}">
          <x14:formula1>
            <xm:f>'List Data'!$A$2:$A$94</xm:f>
          </x14:formula1>
          <xm:sqref>L5:L105</xm:sqref>
        </x14:dataValidation>
        <x14:dataValidation type="list" allowBlank="1" showInputMessage="1" showErrorMessage="1" xr:uid="{40F9F169-2FBD-4F04-B692-317D05BEB015}">
          <x14:formula1>
            <xm:f>'List Data'!$A$100:$A$104</xm:f>
          </x14:formula1>
          <xm:sqref>D5:D105</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105"/>
  <sheetViews>
    <sheetView zoomScale="85" zoomScaleNormal="85" workbookViewId="0"/>
  </sheetViews>
  <sheetFormatPr defaultColWidth="11.36328125" defaultRowHeight="15.5"/>
  <cols>
    <col min="4" max="4" width="18.1796875" customWidth="1"/>
    <col min="5" max="5" width="18.1796875" style="4" customWidth="1"/>
    <col min="6" max="6" width="22.7265625" bestFit="1" customWidth="1"/>
    <col min="7" max="7" width="12.1796875" customWidth="1"/>
    <col min="11" max="12" width="21" bestFit="1" customWidth="1"/>
    <col min="13" max="14" width="21" customWidth="1"/>
    <col min="29" max="29" width="14.7265625" bestFit="1" customWidth="1"/>
  </cols>
  <sheetData>
    <row r="1" spans="1:33" s="36" customFormat="1" ht="26">
      <c r="A1" s="2" t="s">
        <v>352</v>
      </c>
      <c r="B1" s="2"/>
      <c r="C1" s="2"/>
      <c r="D1" s="4"/>
    </row>
    <row r="2" spans="1:33" s="4" customFormat="1">
      <c r="A2" s="4" t="s">
        <v>347</v>
      </c>
      <c r="E2" s="28">
        <f>SUM(T:T)</f>
        <v>0</v>
      </c>
      <c r="F2" s="4" t="s">
        <v>348</v>
      </c>
      <c r="H2" s="28">
        <f>SUM(U:U)</f>
        <v>0</v>
      </c>
    </row>
    <row r="3" spans="1:33" s="36" customFormat="1" ht="15" customHeight="1">
      <c r="D3" s="2"/>
      <c r="E3" s="4"/>
    </row>
    <row r="4" spans="1:33" s="4" customFormat="1">
      <c r="A4" s="3" t="s">
        <v>387</v>
      </c>
      <c r="B4" s="24" t="s">
        <v>350</v>
      </c>
      <c r="C4" s="24" t="s">
        <v>351</v>
      </c>
      <c r="D4" s="3" t="s">
        <v>217</v>
      </c>
      <c r="E4" s="24" t="s">
        <v>370</v>
      </c>
      <c r="F4" s="24" t="s">
        <v>215</v>
      </c>
      <c r="G4" s="3" t="s">
        <v>332</v>
      </c>
      <c r="H4" s="3" t="s">
        <v>333</v>
      </c>
      <c r="I4" s="3" t="s">
        <v>334</v>
      </c>
      <c r="J4" s="3" t="s">
        <v>335</v>
      </c>
      <c r="K4" s="24" t="s">
        <v>218</v>
      </c>
      <c r="L4" s="24" t="s">
        <v>204</v>
      </c>
      <c r="M4" s="3" t="s">
        <v>391</v>
      </c>
      <c r="N4" s="3" t="s">
        <v>392</v>
      </c>
      <c r="O4" s="24" t="s">
        <v>234</v>
      </c>
      <c r="P4" s="24" t="s">
        <v>212</v>
      </c>
      <c r="Q4" s="24" t="s">
        <v>280</v>
      </c>
      <c r="R4" s="24" t="s">
        <v>228</v>
      </c>
      <c r="S4" s="24" t="s">
        <v>216</v>
      </c>
      <c r="T4" s="24" t="s">
        <v>278</v>
      </c>
      <c r="U4" s="24" t="s">
        <v>279</v>
      </c>
      <c r="V4" s="24" t="s">
        <v>273</v>
      </c>
      <c r="W4" s="24" t="s">
        <v>271</v>
      </c>
      <c r="X4" s="24" t="s">
        <v>274</v>
      </c>
      <c r="Y4" s="24" t="s">
        <v>276</v>
      </c>
      <c r="Z4" s="24" t="s">
        <v>277</v>
      </c>
      <c r="AA4" s="24" t="s">
        <v>275</v>
      </c>
      <c r="AB4" s="24" t="s">
        <v>272</v>
      </c>
      <c r="AC4" s="24" t="s">
        <v>327</v>
      </c>
      <c r="AD4" s="24" t="s">
        <v>326</v>
      </c>
      <c r="AE4" s="24" t="s">
        <v>293</v>
      </c>
      <c r="AF4" s="24" t="s">
        <v>296</v>
      </c>
      <c r="AG4" s="24" t="s">
        <v>295</v>
      </c>
    </row>
    <row r="5" spans="1:33" s="4" customFormat="1">
      <c r="D5" s="29" t="s">
        <v>369</v>
      </c>
      <c r="E5" s="35">
        <f>VLOOKUP(D5,'List Data'!$A$100:$B$104,2,0)</f>
        <v>0</v>
      </c>
      <c r="F5" s="30">
        <v>-1</v>
      </c>
      <c r="G5" s="30"/>
      <c r="H5" s="30"/>
      <c r="I5" s="5" t="str">
        <f>Summary!C$23</f>
        <v>Afghanistan</v>
      </c>
      <c r="J5" s="30"/>
      <c r="K5" s="30" t="s">
        <v>213</v>
      </c>
      <c r="L5" s="30" t="s">
        <v>213</v>
      </c>
      <c r="M5" s="37">
        <f>T5*Summary!$H$27</f>
        <v>0</v>
      </c>
      <c r="N5" s="37">
        <f>U5*Summary!$H$25</f>
        <v>0</v>
      </c>
      <c r="O5" s="5">
        <f>VLOOKUP(L5,'List Data'!A$2:C$94,3,0)</f>
        <v>0</v>
      </c>
      <c r="P5" s="5" t="str">
        <f>VLOOKUP(L5,'List Data'!A$2:B$94,2,0)</f>
        <v>--------</v>
      </c>
      <c r="Q5" s="5">
        <f t="shared" ref="Q5" si="0">IF(F5&lt;8,0,(F5/0.7-(10.7)))</f>
        <v>0</v>
      </c>
      <c r="R5" s="5">
        <f t="shared" ref="R5" si="1">IF(K5="Child (0-7 years)", 135,50)</f>
        <v>50</v>
      </c>
      <c r="S5" s="5">
        <f>(F5/1000000)*R5</f>
        <v>-4.9999999999999996E-5</v>
      </c>
      <c r="T5" s="5">
        <f t="shared" ref="T5" si="2">V5+X5+AA5</f>
        <v>0</v>
      </c>
      <c r="U5" s="5">
        <f t="shared" ref="U5" si="3">W5+Y5+Z5+AB5+AG5</f>
        <v>0</v>
      </c>
      <c r="V5" s="5">
        <f>(IF(AND((O5="OP"),(K5="Child (0-7 years)")),VLOOKUP(($R5*(Q5/1000000)),'OP Values'!$A$1:$Q$35,7),))*E5</f>
        <v>0</v>
      </c>
      <c r="W5" s="5">
        <f>(IF(O5="OP",VLOOKUP(($R5*(F5/1000000)),'OP Values'!$A$1:$Q$35,17),))*E5</f>
        <v>0</v>
      </c>
      <c r="X5" s="5">
        <f>(IF(AND((O5="Pb"),(K5="Child (0-7 years)")),(VLOOKUP(Q5,Pb!$A$2:$AV$103,13)),0))*E5</f>
        <v>0</v>
      </c>
      <c r="Y5" s="5">
        <f>(IF(AND((O5="Pb"),(K5="Child (0-7 years)")),(VLOOKUP(Q5,Pb!$A$2:$AV$103,22)),0))*E5</f>
        <v>0</v>
      </c>
      <c r="Z5" s="5">
        <f>(IF(AND((O5="Pb"),(K5="Adult (&gt; 15 years)")),(VLOOKUP(Q5,Pb!$A$2:$AV$103,48)),0))*E5</f>
        <v>0</v>
      </c>
      <c r="AA5" s="5">
        <f>(IF(AND((O5="Hg"),(K5="Child (0-7 years)")),(VLOOKUP(S5,'Hg Values'!$A$1:$M$30,3)),0))*E5</f>
        <v>0</v>
      </c>
      <c r="AB5" s="5">
        <f>(IF(AND((O5="Hg"),(K5="Child (0-7 years)")),(VLOOKUP(Q5,'Hg Values'!$A$1:$M$30,13)),0))*E5</f>
        <v>0</v>
      </c>
      <c r="AC5" s="5">
        <f>((IF(AND((O5="CA"),(K5="Adult (&gt; 15 years)")),(VLOOKUP(L5,CA_ingestion!A$1:J$78,7,0)),0))*((Q5/1000000)*R5*70))/14</f>
        <v>0</v>
      </c>
      <c r="AD5" s="5">
        <f>(IF(AC5&gt;1,1,AC5))*E5</f>
        <v>0</v>
      </c>
      <c r="AE5" s="5">
        <f>((IF(AND((O5="CA"),(K5="Adult (&gt; 15 years)")),(AD5*(VLOOKUP(L5,CA_ingestion!A$1:J$78,10,0))),0)))</f>
        <v>0</v>
      </c>
      <c r="AF5" s="5">
        <f t="shared" ref="AF5" si="4">AD5/2</f>
        <v>0</v>
      </c>
      <c r="AG5" s="5">
        <f>AE5+AF5</f>
        <v>0</v>
      </c>
    </row>
    <row r="6" spans="1:33" s="4" customFormat="1">
      <c r="D6" s="29" t="s">
        <v>369</v>
      </c>
      <c r="E6" s="35">
        <f>VLOOKUP(D6,'List Data'!$A$100:$B$104,2,0)</f>
        <v>0</v>
      </c>
      <c r="F6" s="30">
        <v>0</v>
      </c>
      <c r="G6" s="30"/>
      <c r="H6" s="30"/>
      <c r="I6" s="5" t="str">
        <f>Summary!C$23</f>
        <v>Afghanistan</v>
      </c>
      <c r="J6" s="30"/>
      <c r="K6" s="30" t="s">
        <v>213</v>
      </c>
      <c r="L6" s="30" t="s">
        <v>213</v>
      </c>
      <c r="M6" s="37">
        <f>T6*Summary!$H$27</f>
        <v>0</v>
      </c>
      <c r="N6" s="37">
        <f>U6*Summary!$H$25</f>
        <v>0</v>
      </c>
      <c r="O6" s="5">
        <f>VLOOKUP(L6,'List Data'!A$2:C$94,3,0)</f>
        <v>0</v>
      </c>
      <c r="P6" s="5" t="str">
        <f>VLOOKUP(L6,'List Data'!A$2:B$94,2,0)</f>
        <v>--------</v>
      </c>
      <c r="Q6" s="5">
        <f t="shared" ref="Q6:Q69" si="5">IF(F6&lt;8,0,(F6/0.7-(10.7)))</f>
        <v>0</v>
      </c>
      <c r="R6" s="5">
        <f t="shared" ref="R6:R69" si="6">IF(K6="Child (0-7 years)", 135,50)</f>
        <v>50</v>
      </c>
      <c r="S6" s="5"/>
      <c r="T6" s="5"/>
      <c r="U6" s="5">
        <f t="shared" ref="U6:U69" si="7">W6+Y6+Z6+AB6+AG6</f>
        <v>0</v>
      </c>
      <c r="V6" s="5">
        <f>(IF(AND((O6="OP"),(K6="Child (0-7 years)")),VLOOKUP(($R6*(Q6/1000000)),'OP Values'!$A$1:$Q$35,7),))*E6</f>
        <v>0</v>
      </c>
      <c r="W6" s="5">
        <f>(IF(O6="OP",VLOOKUP(($R6*(F6/1000000)),'OP Values'!$A$1:$Q$35,17),))*E6</f>
        <v>0</v>
      </c>
      <c r="X6" s="5">
        <f>(IF(AND((O6="Pb"),(K6="Child (0-7 years)")),(VLOOKUP(Q6,Pb!$A$2:$AV$103,13)),0))*E6</f>
        <v>0</v>
      </c>
      <c r="Y6" s="5">
        <f>(IF(AND((O6="Pb"),(K6="Child (0-7 years)")),(VLOOKUP(Q6,Pb!$A$2:$AV$103,22)),0))*E6</f>
        <v>0</v>
      </c>
      <c r="Z6" s="5">
        <f>(IF(AND((O6="Pb"),(K6="Adult (&gt; 15 years)")),(VLOOKUP(Q6,Pb!$A$2:$AV$103,48)),0))*E6</f>
        <v>0</v>
      </c>
      <c r="AA6" s="5">
        <f>(IF(AND((O6="Hg"),(K6="Child (0-7 years)")),(VLOOKUP(S6,'Hg Values'!$A$1:$M$30,3)),0))*E6</f>
        <v>0</v>
      </c>
      <c r="AB6" s="5">
        <f>(IF(AND((O6="Hg"),(K6="Child (0-7 years)")),(VLOOKUP(Q6,'Hg Values'!$A$1:$M$30,13)),0))*E6</f>
        <v>0</v>
      </c>
      <c r="AC6" s="5">
        <f>((IF(AND((O6="CA"),(K6="Adult (&gt; 15 years)")),(VLOOKUP(L6,CA_ingestion!A$1:J$78,7,0)),0))*((Q6/1000000)*R6*70))/14</f>
        <v>0</v>
      </c>
      <c r="AD6" s="5">
        <f t="shared" ref="AD6:AD69" si="8">(IF(AC6&gt;1,1,AC6))*E6</f>
        <v>0</v>
      </c>
      <c r="AE6" s="5">
        <f>((IF(AND((O6="CA"),(K6="Adult (&gt; 15 years)")),(AD6*(VLOOKUP(L6,CA_ingestion!A$1:J$78,10,0))),0)))</f>
        <v>0</v>
      </c>
      <c r="AF6" s="5">
        <f t="shared" ref="AF6:AF69" si="9">AD6/2</f>
        <v>0</v>
      </c>
      <c r="AG6" s="5">
        <f t="shared" ref="AG6:AG69" si="10">AE6+AF6</f>
        <v>0</v>
      </c>
    </row>
    <row r="7" spans="1:33" s="4" customFormat="1">
      <c r="D7" s="29" t="s">
        <v>369</v>
      </c>
      <c r="E7" s="35">
        <f>VLOOKUP(D7,'List Data'!$A$100:$B$104,2,0)</f>
        <v>0</v>
      </c>
      <c r="F7" s="30">
        <v>0</v>
      </c>
      <c r="G7" s="30"/>
      <c r="H7" s="30"/>
      <c r="I7" s="5" t="str">
        <f>Summary!C$23</f>
        <v>Afghanistan</v>
      </c>
      <c r="J7" s="30"/>
      <c r="K7" s="30" t="s">
        <v>213</v>
      </c>
      <c r="L7" s="30" t="s">
        <v>213</v>
      </c>
      <c r="M7" s="37">
        <f>T7*Summary!$H$27</f>
        <v>0</v>
      </c>
      <c r="N7" s="37">
        <f>U7*Summary!$H$25</f>
        <v>0</v>
      </c>
      <c r="O7" s="5">
        <f>VLOOKUP(L7,'List Data'!A$2:C$94,3,0)</f>
        <v>0</v>
      </c>
      <c r="P7" s="5" t="str">
        <f>VLOOKUP(L7,'List Data'!A$2:B$94,2,0)</f>
        <v>--------</v>
      </c>
      <c r="Q7" s="5">
        <f t="shared" si="5"/>
        <v>0</v>
      </c>
      <c r="R7" s="5">
        <f t="shared" si="6"/>
        <v>50</v>
      </c>
      <c r="S7" s="5">
        <f t="shared" ref="S7:S69" si="11">(F7/1000000)*R7</f>
        <v>0</v>
      </c>
      <c r="T7" s="5">
        <f t="shared" ref="T7:T69" si="12">V7+X7+AA7</f>
        <v>0</v>
      </c>
      <c r="U7" s="5">
        <f t="shared" si="7"/>
        <v>0</v>
      </c>
      <c r="V7" s="5">
        <f>(IF(AND((O7="OP"),(K7="Child (0-7 years)")),VLOOKUP(($R7*(Q7/1000000)),'OP Values'!$A$1:$Q$35,7),))*E7</f>
        <v>0</v>
      </c>
      <c r="W7" s="5">
        <f>(IF(O7="OP",VLOOKUP(($R7*(F7/1000000)),'OP Values'!$A$1:$Q$35,17),))*E7</f>
        <v>0</v>
      </c>
      <c r="X7" s="5">
        <f>(IF(AND((O7="Pb"),(K7="Child (0-7 years)")),(VLOOKUP(Q7,Pb!$A$2:$AV$103,13)),0))*E7</f>
        <v>0</v>
      </c>
      <c r="Y7" s="5">
        <f>(IF(AND((O7="Pb"),(K7="Child (0-7 years)")),(VLOOKUP(Q7,Pb!$A$2:$AV$103,22)),0))*E7</f>
        <v>0</v>
      </c>
      <c r="Z7" s="5">
        <f>(IF(AND((O7="Pb"),(K7="Adult (&gt; 15 years)")),(VLOOKUP(Q7,Pb!$A$2:$AV$103,48)),0))*E7</f>
        <v>0</v>
      </c>
      <c r="AA7" s="5">
        <f>(IF(AND((O7="Hg"),(K7="Child (0-7 years)")),(VLOOKUP(S7,'Hg Values'!$A$1:$M$30,3)),0))*E7</f>
        <v>0</v>
      </c>
      <c r="AB7" s="5">
        <f>(IF(AND((O7="Hg"),(K7="Child (0-7 years)")),(VLOOKUP(Q7,'Hg Values'!$A$1:$M$30,13)),0))*E7</f>
        <v>0</v>
      </c>
      <c r="AC7" s="5">
        <f>((IF(AND((O7="CA"),(K7="Adult (&gt; 15 years)")),(VLOOKUP(L7,CA_ingestion!A$1:J$78,7,0)),0))*((Q7/1000000)*R7*70))/14</f>
        <v>0</v>
      </c>
      <c r="AD7" s="5">
        <f t="shared" si="8"/>
        <v>0</v>
      </c>
      <c r="AE7" s="5">
        <f>((IF(AND((O7="CA"),(K7="Adult (&gt; 15 years)")),(AD7*(VLOOKUP(L7,CA_ingestion!A$1:J$78,10,0))),0)))</f>
        <v>0</v>
      </c>
      <c r="AF7" s="5">
        <f t="shared" si="9"/>
        <v>0</v>
      </c>
      <c r="AG7" s="5">
        <f t="shared" si="10"/>
        <v>0</v>
      </c>
    </row>
    <row r="8" spans="1:33" s="4" customFormat="1">
      <c r="D8" s="29" t="s">
        <v>369</v>
      </c>
      <c r="E8" s="35">
        <f>VLOOKUP(D8,'List Data'!$A$100:$B$104,2,0)</f>
        <v>0</v>
      </c>
      <c r="F8" s="30">
        <v>0</v>
      </c>
      <c r="G8" s="30"/>
      <c r="H8" s="30"/>
      <c r="I8" s="5" t="str">
        <f>Summary!C$23</f>
        <v>Afghanistan</v>
      </c>
      <c r="J8" s="30"/>
      <c r="K8" s="30" t="s">
        <v>213</v>
      </c>
      <c r="L8" s="30" t="s">
        <v>213</v>
      </c>
      <c r="M8" s="37">
        <f>T8*Summary!$H$27</f>
        <v>0</v>
      </c>
      <c r="N8" s="37">
        <f>U8*Summary!$H$25</f>
        <v>0</v>
      </c>
      <c r="O8" s="5">
        <f>VLOOKUP(L8,'List Data'!A$2:C$94,3,0)</f>
        <v>0</v>
      </c>
      <c r="P8" s="5" t="str">
        <f>VLOOKUP(L8,'List Data'!A$2:B$94,2,0)</f>
        <v>--------</v>
      </c>
      <c r="Q8" s="5">
        <f t="shared" si="5"/>
        <v>0</v>
      </c>
      <c r="R8" s="5">
        <f t="shared" si="6"/>
        <v>50</v>
      </c>
      <c r="S8" s="5">
        <f t="shared" si="11"/>
        <v>0</v>
      </c>
      <c r="T8" s="5">
        <f t="shared" si="12"/>
        <v>0</v>
      </c>
      <c r="U8" s="5">
        <f t="shared" si="7"/>
        <v>0</v>
      </c>
      <c r="V8" s="5">
        <f>(IF(AND((O8="OP"),(K8="Child (0-7 years)")),VLOOKUP(($R8*(Q8/1000000)),'OP Values'!$A$1:$Q$35,7),))*E8</f>
        <v>0</v>
      </c>
      <c r="W8" s="5">
        <f>(IF(O8="OP",VLOOKUP(($R8*(F8/1000000)),'OP Values'!$A$1:$Q$35,17),))*E8</f>
        <v>0</v>
      </c>
      <c r="X8" s="5">
        <f>(IF(AND((O8="Pb"),(K8="Child (0-7 years)")),(VLOOKUP(Q8,Pb!$A$2:$AV$103,13)),0))*E8</f>
        <v>0</v>
      </c>
      <c r="Y8" s="5">
        <f>(IF(AND((O8="Pb"),(K8="Child (0-7 years)")),(VLOOKUP(Q8,Pb!$A$2:$AV$103,22)),0))*E8</f>
        <v>0</v>
      </c>
      <c r="Z8" s="5">
        <f>(IF(AND((O8="Pb"),(K8="Adult (&gt; 15 years)")),(VLOOKUP(Q8,Pb!$A$2:$AV$103,48)),0))*E8</f>
        <v>0</v>
      </c>
      <c r="AA8" s="5">
        <f>(IF(AND((O8="Hg"),(K8="Child (0-7 years)")),(VLOOKUP(S8,'Hg Values'!$A$1:$M$30,3)),0))*E8</f>
        <v>0</v>
      </c>
      <c r="AB8" s="5">
        <f>(IF(AND((O8="Hg"),(K8="Child (0-7 years)")),(VLOOKUP(Q8,'Hg Values'!$A$1:$M$30,13)),0))*E8</f>
        <v>0</v>
      </c>
      <c r="AC8" s="5">
        <f>((IF(AND((O8="CA"),(K8="Adult (&gt; 15 years)")),(VLOOKUP(L8,CA_ingestion!A$1:J$78,7,0)),0))*((Q8/1000000)*R8*70))/14</f>
        <v>0</v>
      </c>
      <c r="AD8" s="5">
        <f t="shared" si="8"/>
        <v>0</v>
      </c>
      <c r="AE8" s="5">
        <f>((IF(AND((O8="CA"),(K8="Adult (&gt; 15 years)")),(AD8*(VLOOKUP(L8,CA_ingestion!A$1:J$78,10,0))),0)))</f>
        <v>0</v>
      </c>
      <c r="AF8" s="5">
        <f t="shared" si="9"/>
        <v>0</v>
      </c>
      <c r="AG8" s="5">
        <f t="shared" si="10"/>
        <v>0</v>
      </c>
    </row>
    <row r="9" spans="1:33" s="4" customFormat="1">
      <c r="D9" s="29" t="s">
        <v>369</v>
      </c>
      <c r="E9" s="35">
        <f>VLOOKUP(D9,'List Data'!$A$100:$B$104,2,0)</f>
        <v>0</v>
      </c>
      <c r="F9" s="30">
        <v>0</v>
      </c>
      <c r="G9" s="30"/>
      <c r="H9" s="30"/>
      <c r="I9" s="5" t="str">
        <f>Summary!C$23</f>
        <v>Afghanistan</v>
      </c>
      <c r="J9" s="30"/>
      <c r="K9" s="30" t="s">
        <v>213</v>
      </c>
      <c r="L9" s="30" t="s">
        <v>213</v>
      </c>
      <c r="M9" s="37">
        <f>T9*Summary!$H$27</f>
        <v>0</v>
      </c>
      <c r="N9" s="37">
        <f>U9*Summary!$H$25</f>
        <v>0</v>
      </c>
      <c r="O9" s="5">
        <f>VLOOKUP(L9,'List Data'!A$2:C$94,3,0)</f>
        <v>0</v>
      </c>
      <c r="P9" s="5" t="str">
        <f>VLOOKUP(L9,'List Data'!A$2:B$94,2,0)</f>
        <v>--------</v>
      </c>
      <c r="Q9" s="5">
        <f t="shared" si="5"/>
        <v>0</v>
      </c>
      <c r="R9" s="5">
        <f t="shared" si="6"/>
        <v>50</v>
      </c>
      <c r="S9" s="5">
        <f t="shared" si="11"/>
        <v>0</v>
      </c>
      <c r="T9" s="5">
        <f t="shared" si="12"/>
        <v>0</v>
      </c>
      <c r="U9" s="5">
        <f t="shared" si="7"/>
        <v>0</v>
      </c>
      <c r="V9" s="5">
        <f>(IF(AND((O9="OP"),(K9="Child (0-7 years)")),VLOOKUP(($R9*(Q9/1000000)),'OP Values'!$A$1:$Q$35,7),))*E9</f>
        <v>0</v>
      </c>
      <c r="W9" s="5">
        <f>(IF(O9="OP",VLOOKUP(($R9*(F9/1000000)),'OP Values'!$A$1:$Q$35,17),))*E9</f>
        <v>0</v>
      </c>
      <c r="X9" s="5">
        <f>(IF(AND((O9="Pb"),(K9="Child (0-7 years)")),(VLOOKUP(Q9,Pb!$A$2:$AV$103,13)),0))*E9</f>
        <v>0</v>
      </c>
      <c r="Y9" s="5">
        <f>(IF(AND((O9="Pb"),(K9="Child (0-7 years)")),(VLOOKUP(Q9,Pb!$A$2:$AV$103,22)),0))*E9</f>
        <v>0</v>
      </c>
      <c r="Z9" s="5">
        <f>(IF(AND((O9="Pb"),(K9="Adult (&gt; 15 years)")),(VLOOKUP(Q9,Pb!$A$2:$AV$103,48)),0))*E9</f>
        <v>0</v>
      </c>
      <c r="AA9" s="5">
        <f>(IF(AND((O9="Hg"),(K9="Child (0-7 years)")),(VLOOKUP(S9,'Hg Values'!$A$1:$M$30,3)),0))*E9</f>
        <v>0</v>
      </c>
      <c r="AB9" s="5">
        <f>(IF(AND((O9="Hg"),(K9="Child (0-7 years)")),(VLOOKUP(Q9,'Hg Values'!$A$1:$M$30,13)),0))*E9</f>
        <v>0</v>
      </c>
      <c r="AC9" s="5">
        <f>((IF(AND((O9="CA"),(K9="Adult (&gt; 15 years)")),(VLOOKUP(L9,CA_ingestion!A$1:J$78,7,0)),0))*((Q9/1000000)*R9*70))/14</f>
        <v>0</v>
      </c>
      <c r="AD9" s="5">
        <f t="shared" si="8"/>
        <v>0</v>
      </c>
      <c r="AE9" s="5">
        <f>((IF(AND((O9="CA"),(K9="Adult (&gt; 15 years)")),(AD9*(VLOOKUP(L9,CA_ingestion!A$1:J$78,10,0))),0)))</f>
        <v>0</v>
      </c>
      <c r="AF9" s="5">
        <f t="shared" si="9"/>
        <v>0</v>
      </c>
      <c r="AG9" s="5">
        <f t="shared" si="10"/>
        <v>0</v>
      </c>
    </row>
    <row r="10" spans="1:33" s="4" customFormat="1">
      <c r="D10" s="29" t="s">
        <v>369</v>
      </c>
      <c r="E10" s="35">
        <f>VLOOKUP(D10,'List Data'!$A$100:$B$104,2,0)</f>
        <v>0</v>
      </c>
      <c r="F10" s="30">
        <v>0</v>
      </c>
      <c r="G10" s="30"/>
      <c r="H10" s="30"/>
      <c r="I10" s="5" t="str">
        <f>Summary!C$23</f>
        <v>Afghanistan</v>
      </c>
      <c r="J10" s="30"/>
      <c r="K10" s="30" t="s">
        <v>213</v>
      </c>
      <c r="L10" s="30" t="s">
        <v>213</v>
      </c>
      <c r="M10" s="37">
        <f>T10*Summary!$H$27</f>
        <v>0</v>
      </c>
      <c r="N10" s="37">
        <f>U10*Summary!$H$25</f>
        <v>0</v>
      </c>
      <c r="O10" s="5">
        <f>VLOOKUP(L10,'List Data'!A$2:C$94,3,0)</f>
        <v>0</v>
      </c>
      <c r="P10" s="5" t="str">
        <f>VLOOKUP(L10,'List Data'!A$2:B$94,2,0)</f>
        <v>--------</v>
      </c>
      <c r="Q10" s="5">
        <f t="shared" si="5"/>
        <v>0</v>
      </c>
      <c r="R10" s="5">
        <f t="shared" si="6"/>
        <v>50</v>
      </c>
      <c r="S10" s="5">
        <f t="shared" si="11"/>
        <v>0</v>
      </c>
      <c r="T10" s="5">
        <f t="shared" si="12"/>
        <v>0</v>
      </c>
      <c r="U10" s="5">
        <f t="shared" si="7"/>
        <v>0</v>
      </c>
      <c r="V10" s="5">
        <f>(IF(AND((O10="OP"),(K10="Child (0-7 years)")),VLOOKUP(($R10*(Q10/1000000)),'OP Values'!$A$1:$Q$35,7),))*E10</f>
        <v>0</v>
      </c>
      <c r="W10" s="5">
        <f>(IF(O10="OP",VLOOKUP(($R10*(F10/1000000)),'OP Values'!$A$1:$Q$35,17),))*E10</f>
        <v>0</v>
      </c>
      <c r="X10" s="5">
        <f>(IF(AND((O10="Pb"),(K10="Child (0-7 years)")),(VLOOKUP(Q10,Pb!$A$2:$AV$103,13)),0))*E10</f>
        <v>0</v>
      </c>
      <c r="Y10" s="5">
        <f>(IF(AND((O10="Pb"),(K10="Child (0-7 years)")),(VLOOKUP(Q10,Pb!$A$2:$AV$103,22)),0))*E10</f>
        <v>0</v>
      </c>
      <c r="Z10" s="5">
        <f>(IF(AND((O10="Pb"),(K10="Adult (&gt; 15 years)")),(VLOOKUP(Q10,Pb!$A$2:$AV$103,48)),0))*E10</f>
        <v>0</v>
      </c>
      <c r="AA10" s="5">
        <f>(IF(AND((O10="Hg"),(K10="Child (0-7 years)")),(VLOOKUP(S10,'Hg Values'!$A$1:$M$30,3)),0))*E10</f>
        <v>0</v>
      </c>
      <c r="AB10" s="5">
        <f>(IF(AND((O10="Hg"),(K10="Child (0-7 years)")),(VLOOKUP(Q10,'Hg Values'!$A$1:$M$30,13)),0))*E10</f>
        <v>0</v>
      </c>
      <c r="AC10" s="5">
        <f>((IF(AND((O10="CA"),(K10="Adult (&gt; 15 years)")),(VLOOKUP(L10,CA_ingestion!A$1:J$78,7,0)),0))*((Q10/1000000)*R10*70))/14</f>
        <v>0</v>
      </c>
      <c r="AD10" s="5">
        <f t="shared" si="8"/>
        <v>0</v>
      </c>
      <c r="AE10" s="5">
        <f>((IF(AND((O10="CA"),(K10="Adult (&gt; 15 years)")),(AD10*(VLOOKUP(L10,CA_ingestion!A$1:J$78,10,0))),0)))</f>
        <v>0</v>
      </c>
      <c r="AF10" s="5">
        <f t="shared" si="9"/>
        <v>0</v>
      </c>
      <c r="AG10" s="5">
        <f t="shared" si="10"/>
        <v>0</v>
      </c>
    </row>
    <row r="11" spans="1:33" s="4" customFormat="1">
      <c r="D11" s="29" t="s">
        <v>369</v>
      </c>
      <c r="E11" s="35">
        <f>VLOOKUP(D11,'List Data'!$A$100:$B$104,2,0)</f>
        <v>0</v>
      </c>
      <c r="F11" s="30">
        <v>0</v>
      </c>
      <c r="G11" s="30"/>
      <c r="H11" s="30"/>
      <c r="I11" s="5" t="str">
        <f>Summary!C$23</f>
        <v>Afghanistan</v>
      </c>
      <c r="J11" s="30"/>
      <c r="K11" s="30" t="s">
        <v>213</v>
      </c>
      <c r="L11" s="30" t="s">
        <v>213</v>
      </c>
      <c r="M11" s="37">
        <f>T11*Summary!$H$27</f>
        <v>0</v>
      </c>
      <c r="N11" s="37">
        <f>U11*Summary!$H$25</f>
        <v>0</v>
      </c>
      <c r="O11" s="5">
        <f>VLOOKUP(L11,'List Data'!A$2:C$94,3,0)</f>
        <v>0</v>
      </c>
      <c r="P11" s="5" t="str">
        <f>VLOOKUP(L11,'List Data'!A$2:B$94,2,0)</f>
        <v>--------</v>
      </c>
      <c r="Q11" s="5">
        <f t="shared" si="5"/>
        <v>0</v>
      </c>
      <c r="R11" s="5">
        <f t="shared" si="6"/>
        <v>50</v>
      </c>
      <c r="S11" s="5">
        <f t="shared" si="11"/>
        <v>0</v>
      </c>
      <c r="T11" s="5">
        <f t="shared" si="12"/>
        <v>0</v>
      </c>
      <c r="U11" s="5">
        <f t="shared" si="7"/>
        <v>0</v>
      </c>
      <c r="V11" s="5">
        <f>(IF(AND((O11="OP"),(K11="Child (0-7 years)")),VLOOKUP(($R11*(Q11/1000000)),'OP Values'!$A$1:$Q$35,7),))*E11</f>
        <v>0</v>
      </c>
      <c r="W11" s="5">
        <f>(IF(O11="OP",VLOOKUP(($R11*(F11/1000000)),'OP Values'!$A$1:$Q$35,17),))*E11</f>
        <v>0</v>
      </c>
      <c r="X11" s="5">
        <f>(IF(AND((O11="Pb"),(K11="Child (0-7 years)")),(VLOOKUP(Q11,Pb!$A$2:$AV$103,13)),0))*E11</f>
        <v>0</v>
      </c>
      <c r="Y11" s="5">
        <f>(IF(AND((O11="Pb"),(K11="Child (0-7 years)")),(VLOOKUP(Q11,Pb!$A$2:$AV$103,22)),0))*E11</f>
        <v>0</v>
      </c>
      <c r="Z11" s="5">
        <f>(IF(AND((O11="Pb"),(K11="Adult (&gt; 15 years)")),(VLOOKUP(Q11,Pb!$A$2:$AV$103,48)),0))*E11</f>
        <v>0</v>
      </c>
      <c r="AA11" s="5">
        <f>(IF(AND((O11="Hg"),(K11="Child (0-7 years)")),(VLOOKUP(S11,'Hg Values'!$A$1:$M$30,3)),0))*E11</f>
        <v>0</v>
      </c>
      <c r="AB11" s="5">
        <f>(IF(AND((O11="Hg"),(K11="Child (0-7 years)")),(VLOOKUP(Q11,'Hg Values'!$A$1:$M$30,13)),0))*E11</f>
        <v>0</v>
      </c>
      <c r="AC11" s="5">
        <f>((IF(AND((O11="CA"),(K11="Adult (&gt; 15 years)")),(VLOOKUP(L11,CA_ingestion!A$1:J$78,7,0)),0))*((Q11/1000000)*R11*70))/14</f>
        <v>0</v>
      </c>
      <c r="AD11" s="5">
        <f t="shared" si="8"/>
        <v>0</v>
      </c>
      <c r="AE11" s="5">
        <f>((IF(AND((O11="CA"),(K11="Adult (&gt; 15 years)")),(AD11*(VLOOKUP(L11,CA_ingestion!A$1:J$78,10,0))),0)))</f>
        <v>0</v>
      </c>
      <c r="AF11" s="5">
        <f t="shared" si="9"/>
        <v>0</v>
      </c>
      <c r="AG11" s="5">
        <f t="shared" si="10"/>
        <v>0</v>
      </c>
    </row>
    <row r="12" spans="1:33" s="4" customFormat="1">
      <c r="D12" s="29" t="s">
        <v>369</v>
      </c>
      <c r="E12" s="35">
        <f>VLOOKUP(D12,'List Data'!$A$100:$B$104,2,0)</f>
        <v>0</v>
      </c>
      <c r="F12" s="30">
        <v>0</v>
      </c>
      <c r="G12" s="30"/>
      <c r="H12" s="30"/>
      <c r="I12" s="5" t="str">
        <f>Summary!C$23</f>
        <v>Afghanistan</v>
      </c>
      <c r="J12" s="30"/>
      <c r="K12" s="30" t="s">
        <v>213</v>
      </c>
      <c r="L12" s="30" t="s">
        <v>213</v>
      </c>
      <c r="M12" s="37">
        <f>T12*Summary!$H$27</f>
        <v>0</v>
      </c>
      <c r="N12" s="37">
        <f>U12*Summary!$H$25</f>
        <v>0</v>
      </c>
      <c r="O12" s="5">
        <f>VLOOKUP(L12,'List Data'!A$2:C$94,3,0)</f>
        <v>0</v>
      </c>
      <c r="P12" s="5" t="str">
        <f>VLOOKUP(L12,'List Data'!A$2:B$94,2,0)</f>
        <v>--------</v>
      </c>
      <c r="Q12" s="5">
        <f t="shared" si="5"/>
        <v>0</v>
      </c>
      <c r="R12" s="5">
        <f t="shared" si="6"/>
        <v>50</v>
      </c>
      <c r="S12" s="5">
        <f t="shared" si="11"/>
        <v>0</v>
      </c>
      <c r="T12" s="5">
        <f t="shared" si="12"/>
        <v>0</v>
      </c>
      <c r="U12" s="5">
        <f t="shared" si="7"/>
        <v>0</v>
      </c>
      <c r="V12" s="5">
        <f>(IF(AND((O12="OP"),(K12="Child (0-7 years)")),VLOOKUP(($R12*(Q12/1000000)),'OP Values'!$A$1:$Q$35,7),))*E12</f>
        <v>0</v>
      </c>
      <c r="W12" s="5">
        <f>(IF(O12="OP",VLOOKUP(($R12*(F12/1000000)),'OP Values'!$A$1:$Q$35,17),))*E12</f>
        <v>0</v>
      </c>
      <c r="X12" s="5">
        <f>(IF(AND((O12="Pb"),(K12="Child (0-7 years)")),(VLOOKUP(Q12,Pb!$A$2:$AV$103,13)),0))*E12</f>
        <v>0</v>
      </c>
      <c r="Y12" s="5">
        <f>(IF(AND((O12="Pb"),(K12="Child (0-7 years)")),(VLOOKUP(Q12,Pb!$A$2:$AV$103,22)),0))*E12</f>
        <v>0</v>
      </c>
      <c r="Z12" s="5">
        <f>(IF(AND((O12="Pb"),(K12="Adult (&gt; 15 years)")),(VLOOKUP(Q12,Pb!$A$2:$AV$103,48)),0))*E12</f>
        <v>0</v>
      </c>
      <c r="AA12" s="5">
        <f>(IF(AND((O12="Hg"),(K12="Child (0-7 years)")),(VLOOKUP(S12,'Hg Values'!$A$1:$M$30,3)),0))*E12</f>
        <v>0</v>
      </c>
      <c r="AB12" s="5">
        <f>(IF(AND((O12="Hg"),(K12="Child (0-7 years)")),(VLOOKUP(Q12,'Hg Values'!$A$1:$M$30,13)),0))*E12</f>
        <v>0</v>
      </c>
      <c r="AC12" s="5">
        <f>((IF(AND((O12="CA"),(K12="Adult (&gt; 15 years)")),(VLOOKUP(L12,CA_ingestion!A$1:J$78,7,0)),0))*((Q12/1000000)*R12*70))/14</f>
        <v>0</v>
      </c>
      <c r="AD12" s="5">
        <f t="shared" si="8"/>
        <v>0</v>
      </c>
      <c r="AE12" s="5">
        <f>((IF(AND((O12="CA"),(K12="Adult (&gt; 15 years)")),(AD12*(VLOOKUP(L12,CA_ingestion!A$1:J$78,10,0))),0)))</f>
        <v>0</v>
      </c>
      <c r="AF12" s="5">
        <f t="shared" si="9"/>
        <v>0</v>
      </c>
      <c r="AG12" s="5">
        <f t="shared" si="10"/>
        <v>0</v>
      </c>
    </row>
    <row r="13" spans="1:33" s="4" customFormat="1">
      <c r="D13" s="29" t="s">
        <v>369</v>
      </c>
      <c r="E13" s="35">
        <f>VLOOKUP(D13,'List Data'!$A$100:$B$104,2,0)</f>
        <v>0</v>
      </c>
      <c r="F13" s="30">
        <v>0</v>
      </c>
      <c r="G13" s="30"/>
      <c r="H13" s="30"/>
      <c r="I13" s="5" t="str">
        <f>Summary!C$23</f>
        <v>Afghanistan</v>
      </c>
      <c r="J13" s="30"/>
      <c r="K13" s="30" t="s">
        <v>213</v>
      </c>
      <c r="L13" s="30" t="s">
        <v>213</v>
      </c>
      <c r="M13" s="37">
        <f>T13*Summary!$H$27</f>
        <v>0</v>
      </c>
      <c r="N13" s="37">
        <f>U13*Summary!$H$25</f>
        <v>0</v>
      </c>
      <c r="O13" s="5">
        <f>VLOOKUP(L13,'List Data'!A$2:C$94,3,0)</f>
        <v>0</v>
      </c>
      <c r="P13" s="5" t="str">
        <f>VLOOKUP(L13,'List Data'!A$2:B$94,2,0)</f>
        <v>--------</v>
      </c>
      <c r="Q13" s="5">
        <f t="shared" si="5"/>
        <v>0</v>
      </c>
      <c r="R13" s="5">
        <f t="shared" si="6"/>
        <v>50</v>
      </c>
      <c r="S13" s="5">
        <f t="shared" si="11"/>
        <v>0</v>
      </c>
      <c r="T13" s="5">
        <f t="shared" si="12"/>
        <v>0</v>
      </c>
      <c r="U13" s="5">
        <f t="shared" si="7"/>
        <v>0</v>
      </c>
      <c r="V13" s="5">
        <f>(IF(AND((O13="OP"),(K13="Child (0-7 years)")),VLOOKUP(($R13*(Q13/1000000)),'OP Values'!$A$1:$Q$35,7),))*E13</f>
        <v>0</v>
      </c>
      <c r="W13" s="5">
        <f>(IF(O13="OP",VLOOKUP(($R13*(F13/1000000)),'OP Values'!$A$1:$Q$35,17),))*E13</f>
        <v>0</v>
      </c>
      <c r="X13" s="5">
        <f>(IF(AND((O13="Pb"),(K13="Child (0-7 years)")),(VLOOKUP(Q13,Pb!$A$2:$AV$103,13)),0))*E13</f>
        <v>0</v>
      </c>
      <c r="Y13" s="5">
        <f>(IF(AND((O13="Pb"),(K13="Child (0-7 years)")),(VLOOKUP(Q13,Pb!$A$2:$AV$103,22)),0))*E13</f>
        <v>0</v>
      </c>
      <c r="Z13" s="5">
        <f>(IF(AND((O13="Pb"),(K13="Adult (&gt; 15 years)")),(VLOOKUP(Q13,Pb!$A$2:$AV$103,48)),0))*E13</f>
        <v>0</v>
      </c>
      <c r="AA13" s="5">
        <f>(IF(AND((O13="Hg"),(K13="Child (0-7 years)")),(VLOOKUP(S13,'Hg Values'!$A$1:$M$30,3)),0))*E13</f>
        <v>0</v>
      </c>
      <c r="AB13" s="5">
        <f>(IF(AND((O13="Hg"),(K13="Child (0-7 years)")),(VLOOKUP(Q13,'Hg Values'!$A$1:$M$30,13)),0))*E13</f>
        <v>0</v>
      </c>
      <c r="AC13" s="5">
        <f>((IF(AND((O13="CA"),(K13="Adult (&gt; 15 years)")),(VLOOKUP(L13,CA_ingestion!A$1:J$78,7,0)),0))*((Q13/1000000)*R13*70))/14</f>
        <v>0</v>
      </c>
      <c r="AD13" s="5">
        <f t="shared" si="8"/>
        <v>0</v>
      </c>
      <c r="AE13" s="5">
        <f>((IF(AND((O13="CA"),(K13="Adult (&gt; 15 years)")),(AD13*(VLOOKUP(L13,CA_ingestion!A$1:J$78,10,0))),0)))</f>
        <v>0</v>
      </c>
      <c r="AF13" s="5">
        <f t="shared" si="9"/>
        <v>0</v>
      </c>
      <c r="AG13" s="5">
        <f t="shared" si="10"/>
        <v>0</v>
      </c>
    </row>
    <row r="14" spans="1:33">
      <c r="D14" s="29" t="s">
        <v>369</v>
      </c>
      <c r="E14" s="35">
        <f>VLOOKUP(D14,'List Data'!$A$100:$B$104,2,0)</f>
        <v>0</v>
      </c>
      <c r="F14" s="30">
        <v>0</v>
      </c>
      <c r="G14" s="30"/>
      <c r="H14" s="30"/>
      <c r="I14" s="5" t="str">
        <f>Summary!C$23</f>
        <v>Afghanistan</v>
      </c>
      <c r="J14" s="30"/>
      <c r="K14" s="30" t="s">
        <v>213</v>
      </c>
      <c r="L14" s="30" t="s">
        <v>213</v>
      </c>
      <c r="M14" s="37">
        <f>T14*Summary!$H$27</f>
        <v>0</v>
      </c>
      <c r="N14" s="37">
        <f>U14*Summary!$H$25</f>
        <v>0</v>
      </c>
      <c r="O14" s="5">
        <f>VLOOKUP(L14,'List Data'!A$2:C$94,3,0)</f>
        <v>0</v>
      </c>
      <c r="P14" s="5" t="str">
        <f>VLOOKUP(L14,'List Data'!A$2:B$94,2,0)</f>
        <v>--------</v>
      </c>
      <c r="Q14" s="5">
        <f t="shared" si="5"/>
        <v>0</v>
      </c>
      <c r="R14" s="5">
        <f t="shared" si="6"/>
        <v>50</v>
      </c>
      <c r="S14" s="5">
        <f t="shared" si="11"/>
        <v>0</v>
      </c>
      <c r="T14" s="5">
        <f t="shared" si="12"/>
        <v>0</v>
      </c>
      <c r="U14" s="5">
        <f t="shared" si="7"/>
        <v>0</v>
      </c>
      <c r="V14" s="5">
        <f>(IF(AND((O14="OP"),(K14="Child (0-7 years)")),VLOOKUP(($R14*(Q14/1000000)),'OP Values'!$A$1:$Q$35,7),))*E14</f>
        <v>0</v>
      </c>
      <c r="W14" s="5">
        <f>(IF(O14="OP",VLOOKUP(($R14*(F14/1000000)),'OP Values'!$A$1:$Q$35,17),))*E14</f>
        <v>0</v>
      </c>
      <c r="X14" s="5">
        <f>(IF(AND((O14="Pb"),(K14="Child (0-7 years)")),(VLOOKUP(Q14,Pb!$A$2:$AV$103,13)),0))*E14</f>
        <v>0</v>
      </c>
      <c r="Y14" s="5">
        <f>(IF(AND((O14="Pb"),(K14="Child (0-7 years)")),(VLOOKUP(Q14,Pb!$A$2:$AV$103,22)),0))*E14</f>
        <v>0</v>
      </c>
      <c r="Z14" s="5">
        <f>(IF(AND((O14="Pb"),(K14="Adult (&gt; 15 years)")),(VLOOKUP(Q14,Pb!$A$2:$AV$103,48)),0))*E14</f>
        <v>0</v>
      </c>
      <c r="AA14" s="5">
        <f>(IF(AND((O14="Hg"),(K14="Child (0-7 years)")),(VLOOKUP(S14,'Hg Values'!$A$1:$M$30,3)),0))*E14</f>
        <v>0</v>
      </c>
      <c r="AB14" s="5">
        <f>(IF(AND((O14="Hg"),(K14="Child (0-7 years)")),(VLOOKUP(Q14,'Hg Values'!$A$1:$M$30,13)),0))*E14</f>
        <v>0</v>
      </c>
      <c r="AC14" s="5">
        <f>((IF(AND((O14="CA"),(K14="Adult (&gt; 15 years)")),(VLOOKUP(L14,CA_ingestion!A$1:J$78,7,0)),0))*((Q14/1000000)*R14*70))/14</f>
        <v>0</v>
      </c>
      <c r="AD14" s="5">
        <f t="shared" si="8"/>
        <v>0</v>
      </c>
      <c r="AE14" s="5">
        <f>((IF(AND((O14="CA"),(K14="Adult (&gt; 15 years)")),(AD14*(VLOOKUP(L14,CA_ingestion!A$1:J$78,10,0))),0)))</f>
        <v>0</v>
      </c>
      <c r="AF14" s="5">
        <f t="shared" si="9"/>
        <v>0</v>
      </c>
      <c r="AG14" s="5">
        <f t="shared" si="10"/>
        <v>0</v>
      </c>
    </row>
    <row r="15" spans="1:33">
      <c r="D15" s="29" t="s">
        <v>369</v>
      </c>
      <c r="E15" s="35">
        <f>VLOOKUP(D15,'List Data'!$A$100:$B$104,2,0)</f>
        <v>0</v>
      </c>
      <c r="F15" s="30">
        <v>0</v>
      </c>
      <c r="G15" s="30"/>
      <c r="H15" s="30"/>
      <c r="I15" s="5" t="str">
        <f>Summary!C$23</f>
        <v>Afghanistan</v>
      </c>
      <c r="J15" s="30"/>
      <c r="K15" s="30" t="s">
        <v>213</v>
      </c>
      <c r="L15" s="30" t="s">
        <v>213</v>
      </c>
      <c r="M15" s="37">
        <f>T15*Summary!$H$27</f>
        <v>0</v>
      </c>
      <c r="N15" s="37">
        <f>U15*Summary!$H$25</f>
        <v>0</v>
      </c>
      <c r="O15" s="5">
        <f>VLOOKUP(L15,'List Data'!A$2:C$94,3,0)</f>
        <v>0</v>
      </c>
      <c r="P15" s="5" t="str">
        <f>VLOOKUP(L15,'List Data'!A$2:B$94,2,0)</f>
        <v>--------</v>
      </c>
      <c r="Q15" s="5">
        <f t="shared" si="5"/>
        <v>0</v>
      </c>
      <c r="R15" s="5">
        <f t="shared" si="6"/>
        <v>50</v>
      </c>
      <c r="S15" s="5">
        <f t="shared" si="11"/>
        <v>0</v>
      </c>
      <c r="T15" s="5">
        <f t="shared" si="12"/>
        <v>0</v>
      </c>
      <c r="U15" s="5">
        <f t="shared" si="7"/>
        <v>0</v>
      </c>
      <c r="V15" s="5">
        <f>(IF(AND((O15="OP"),(K15="Child (0-7 years)")),VLOOKUP(($R15*(Q15/1000000)),'OP Values'!$A$1:$Q$35,7),))*E15</f>
        <v>0</v>
      </c>
      <c r="W15" s="5">
        <f>(IF(O15="OP",VLOOKUP(($R15*(F15/1000000)),'OP Values'!$A$1:$Q$35,17),))*E15</f>
        <v>0</v>
      </c>
      <c r="X15" s="5">
        <f>(IF(AND((O15="Pb"),(K15="Child (0-7 years)")),(VLOOKUP(Q15,Pb!$A$2:$AV$103,13)),0))*E15</f>
        <v>0</v>
      </c>
      <c r="Y15" s="5">
        <f>(IF(AND((O15="Pb"),(K15="Child (0-7 years)")),(VLOOKUP(Q15,Pb!$A$2:$AV$103,22)),0))*E15</f>
        <v>0</v>
      </c>
      <c r="Z15" s="5">
        <f>(IF(AND((O15="Pb"),(K15="Adult (&gt; 15 years)")),(VLOOKUP(Q15,Pb!$A$2:$AV$103,48)),0))*E15</f>
        <v>0</v>
      </c>
      <c r="AA15" s="5">
        <f>(IF(AND((O15="Hg"),(K15="Child (0-7 years)")),(VLOOKUP(S15,'Hg Values'!$A$1:$M$30,3)),0))*E15</f>
        <v>0</v>
      </c>
      <c r="AB15" s="5">
        <f>(IF(AND((O15="Hg"),(K15="Child (0-7 years)")),(VLOOKUP(Q15,'Hg Values'!$A$1:$M$30,13)),0))*E15</f>
        <v>0</v>
      </c>
      <c r="AC15" s="5">
        <f>((IF(AND((O15="CA"),(K15="Adult (&gt; 15 years)")),(VLOOKUP(L15,CA_ingestion!A$1:J$78,7,0)),0))*((Q15/1000000)*R15*70))/14</f>
        <v>0</v>
      </c>
      <c r="AD15" s="5">
        <f t="shared" si="8"/>
        <v>0</v>
      </c>
      <c r="AE15" s="5">
        <f>((IF(AND((O15="CA"),(K15="Adult (&gt; 15 years)")),(AD15*(VLOOKUP(L15,CA_ingestion!A$1:J$78,10,0))),0)))</f>
        <v>0</v>
      </c>
      <c r="AF15" s="5">
        <f t="shared" si="9"/>
        <v>0</v>
      </c>
      <c r="AG15" s="5">
        <f t="shared" si="10"/>
        <v>0</v>
      </c>
    </row>
    <row r="16" spans="1:33">
      <c r="D16" s="29" t="s">
        <v>369</v>
      </c>
      <c r="E16" s="35">
        <f>VLOOKUP(D16,'List Data'!$A$100:$B$104,2,0)</f>
        <v>0</v>
      </c>
      <c r="F16" s="30">
        <v>0</v>
      </c>
      <c r="G16" s="30"/>
      <c r="H16" s="30"/>
      <c r="I16" s="5" t="str">
        <f>Summary!C$23</f>
        <v>Afghanistan</v>
      </c>
      <c r="J16" s="30"/>
      <c r="K16" s="30" t="s">
        <v>213</v>
      </c>
      <c r="L16" s="30" t="s">
        <v>213</v>
      </c>
      <c r="M16" s="37">
        <f>T16*Summary!$H$27</f>
        <v>0</v>
      </c>
      <c r="N16" s="37">
        <f>U16*Summary!$H$25</f>
        <v>0</v>
      </c>
      <c r="O16" s="5">
        <f>VLOOKUP(L16,'List Data'!A$2:C$94,3,0)</f>
        <v>0</v>
      </c>
      <c r="P16" s="5" t="str">
        <f>VLOOKUP(L16,'List Data'!A$2:B$94,2,0)</f>
        <v>--------</v>
      </c>
      <c r="Q16" s="5">
        <f t="shared" si="5"/>
        <v>0</v>
      </c>
      <c r="R16" s="5">
        <f t="shared" si="6"/>
        <v>50</v>
      </c>
      <c r="S16" s="5">
        <f t="shared" si="11"/>
        <v>0</v>
      </c>
      <c r="T16" s="5">
        <f t="shared" si="12"/>
        <v>0</v>
      </c>
      <c r="U16" s="5">
        <f t="shared" si="7"/>
        <v>0</v>
      </c>
      <c r="V16" s="5">
        <f>(IF(AND((O16="OP"),(K16="Child (0-7 years)")),VLOOKUP(($R16*(Q16/1000000)),'OP Values'!$A$1:$Q$35,7),))*E16</f>
        <v>0</v>
      </c>
      <c r="W16" s="5">
        <f>(IF(O16="OP",VLOOKUP(($R16*(F16/1000000)),'OP Values'!$A$1:$Q$35,17),))*E16</f>
        <v>0</v>
      </c>
      <c r="X16" s="5">
        <f>(IF(AND((O16="Pb"),(K16="Child (0-7 years)")),(VLOOKUP(Q16,Pb!$A$2:$AV$103,13)),0))*E16</f>
        <v>0</v>
      </c>
      <c r="Y16" s="5">
        <f>(IF(AND((O16="Pb"),(K16="Child (0-7 years)")),(VLOOKUP(Q16,Pb!$A$2:$AV$103,22)),0))*E16</f>
        <v>0</v>
      </c>
      <c r="Z16" s="5">
        <f>(IF(AND((O16="Pb"),(K16="Adult (&gt; 15 years)")),(VLOOKUP(Q16,Pb!$A$2:$AV$103,48)),0))*E16</f>
        <v>0</v>
      </c>
      <c r="AA16" s="5">
        <f>(IF(AND((O16="Hg"),(K16="Child (0-7 years)")),(VLOOKUP(S16,'Hg Values'!$A$1:$M$30,3)),0))*E16</f>
        <v>0</v>
      </c>
      <c r="AB16" s="5">
        <f>(IF(AND((O16="Hg"),(K16="Child (0-7 years)")),(VLOOKUP(Q16,'Hg Values'!$A$1:$M$30,13)),0))*E16</f>
        <v>0</v>
      </c>
      <c r="AC16" s="5">
        <f>((IF(AND((O16="CA"),(K16="Adult (&gt; 15 years)")),(VLOOKUP(L16,CA_ingestion!A$1:J$78,7,0)),0))*((Q16/1000000)*R16*70))/14</f>
        <v>0</v>
      </c>
      <c r="AD16" s="5">
        <f t="shared" si="8"/>
        <v>0</v>
      </c>
      <c r="AE16" s="5">
        <f>((IF(AND((O16="CA"),(K16="Adult (&gt; 15 years)")),(AD16*(VLOOKUP(L16,CA_ingestion!A$1:J$78,10,0))),0)))</f>
        <v>0</v>
      </c>
      <c r="AF16" s="5">
        <f t="shared" si="9"/>
        <v>0</v>
      </c>
      <c r="AG16" s="5">
        <f t="shared" si="10"/>
        <v>0</v>
      </c>
    </row>
    <row r="17" spans="4:33">
      <c r="D17" s="29" t="s">
        <v>369</v>
      </c>
      <c r="E17" s="35">
        <f>VLOOKUP(D17,'List Data'!$A$100:$B$104,2,0)</f>
        <v>0</v>
      </c>
      <c r="F17" s="30">
        <v>0</v>
      </c>
      <c r="G17" s="30"/>
      <c r="H17" s="30"/>
      <c r="I17" s="5" t="str">
        <f>Summary!C$23</f>
        <v>Afghanistan</v>
      </c>
      <c r="J17" s="30"/>
      <c r="K17" s="30" t="s">
        <v>213</v>
      </c>
      <c r="L17" s="30" t="s">
        <v>213</v>
      </c>
      <c r="M17" s="37">
        <f>T17*Summary!$H$27</f>
        <v>0</v>
      </c>
      <c r="N17" s="37">
        <f>U17*Summary!$H$25</f>
        <v>0</v>
      </c>
      <c r="O17" s="5">
        <f>VLOOKUP(L17,'List Data'!A$2:C$94,3,0)</f>
        <v>0</v>
      </c>
      <c r="P17" s="5" t="str">
        <f>VLOOKUP(L17,'List Data'!A$2:B$94,2,0)</f>
        <v>--------</v>
      </c>
      <c r="Q17" s="5">
        <f t="shared" si="5"/>
        <v>0</v>
      </c>
      <c r="R17" s="5">
        <f t="shared" si="6"/>
        <v>50</v>
      </c>
      <c r="S17" s="5">
        <f t="shared" si="11"/>
        <v>0</v>
      </c>
      <c r="T17" s="5">
        <f t="shared" si="12"/>
        <v>0</v>
      </c>
      <c r="U17" s="5">
        <f t="shared" si="7"/>
        <v>0</v>
      </c>
      <c r="V17" s="5">
        <f>(IF(AND((O17="OP"),(K17="Child (0-7 years)")),VLOOKUP(($R17*(Q17/1000000)),'OP Values'!$A$1:$Q$35,7),))*E17</f>
        <v>0</v>
      </c>
      <c r="W17" s="5">
        <f>(IF(O17="OP",VLOOKUP(($R17*(F17/1000000)),'OP Values'!$A$1:$Q$35,17),))*E17</f>
        <v>0</v>
      </c>
      <c r="X17" s="5">
        <f>(IF(AND((O17="Pb"),(K17="Child (0-7 years)")),(VLOOKUP(Q17,Pb!$A$2:$AV$103,13)),0))*E17</f>
        <v>0</v>
      </c>
      <c r="Y17" s="5">
        <f>(IF(AND((O17="Pb"),(K17="Child (0-7 years)")),(VLOOKUP(Q17,Pb!$A$2:$AV$103,22)),0))*E17</f>
        <v>0</v>
      </c>
      <c r="Z17" s="5">
        <f>(IF(AND((O17="Pb"),(K17="Adult (&gt; 15 years)")),(VLOOKUP(Q17,Pb!$A$2:$AV$103,48)),0))*E17</f>
        <v>0</v>
      </c>
      <c r="AA17" s="5">
        <f>(IF(AND((O17="Hg"),(K17="Child (0-7 years)")),(VLOOKUP(S17,'Hg Values'!$A$1:$M$30,3)),0))*E17</f>
        <v>0</v>
      </c>
      <c r="AB17" s="5">
        <f>(IF(AND((O17="Hg"),(K17="Child (0-7 years)")),(VLOOKUP(Q17,'Hg Values'!$A$1:$M$30,13)),0))*E17</f>
        <v>0</v>
      </c>
      <c r="AC17" s="5">
        <f>((IF(AND((O17="CA"),(K17="Adult (&gt; 15 years)")),(VLOOKUP(L17,CA_ingestion!A$1:J$78,7,0)),0))*((Q17/1000000)*R17*70))/14</f>
        <v>0</v>
      </c>
      <c r="AD17" s="5">
        <f t="shared" si="8"/>
        <v>0</v>
      </c>
      <c r="AE17" s="5">
        <f>((IF(AND((O17="CA"),(K17="Adult (&gt; 15 years)")),(AD17*(VLOOKUP(L17,CA_ingestion!A$1:J$78,10,0))),0)))</f>
        <v>0</v>
      </c>
      <c r="AF17" s="5">
        <f t="shared" si="9"/>
        <v>0</v>
      </c>
      <c r="AG17" s="5">
        <f t="shared" si="10"/>
        <v>0</v>
      </c>
    </row>
    <row r="18" spans="4:33">
      <c r="D18" s="29" t="s">
        <v>369</v>
      </c>
      <c r="E18" s="35">
        <f>VLOOKUP(D18,'List Data'!$A$100:$B$104,2,0)</f>
        <v>0</v>
      </c>
      <c r="F18" s="30">
        <v>0</v>
      </c>
      <c r="G18" s="30"/>
      <c r="H18" s="30"/>
      <c r="I18" s="5" t="str">
        <f>Summary!C$23</f>
        <v>Afghanistan</v>
      </c>
      <c r="J18" s="30"/>
      <c r="K18" s="30" t="s">
        <v>213</v>
      </c>
      <c r="L18" s="30" t="s">
        <v>213</v>
      </c>
      <c r="M18" s="37">
        <f>T18*Summary!$H$27</f>
        <v>0</v>
      </c>
      <c r="N18" s="37">
        <f>U18*Summary!$H$25</f>
        <v>0</v>
      </c>
      <c r="O18" s="5">
        <f>VLOOKUP(L18,'List Data'!A$2:C$94,3,0)</f>
        <v>0</v>
      </c>
      <c r="P18" s="5" t="str">
        <f>VLOOKUP(L18,'List Data'!A$2:B$94,2,0)</f>
        <v>--------</v>
      </c>
      <c r="Q18" s="5">
        <f t="shared" si="5"/>
        <v>0</v>
      </c>
      <c r="R18" s="5">
        <f t="shared" si="6"/>
        <v>50</v>
      </c>
      <c r="S18" s="5">
        <f t="shared" si="11"/>
        <v>0</v>
      </c>
      <c r="T18" s="5">
        <f t="shared" si="12"/>
        <v>0</v>
      </c>
      <c r="U18" s="5">
        <f t="shared" si="7"/>
        <v>0</v>
      </c>
      <c r="V18" s="5">
        <f>(IF(AND((O18="OP"),(K18="Child (0-7 years)")),VLOOKUP(($R18*(Q18/1000000)),'OP Values'!$A$1:$Q$35,7),))*E18</f>
        <v>0</v>
      </c>
      <c r="W18" s="5">
        <f>(IF(O18="OP",VLOOKUP(($R18*(F18/1000000)),'OP Values'!$A$1:$Q$35,17),))*E18</f>
        <v>0</v>
      </c>
      <c r="X18" s="5">
        <f>(IF(AND((O18="Pb"),(K18="Child (0-7 years)")),(VLOOKUP(Q18,Pb!$A$2:$AV$103,13)),0))*E18</f>
        <v>0</v>
      </c>
      <c r="Y18" s="5">
        <f>(IF(AND((O18="Pb"),(K18="Child (0-7 years)")),(VLOOKUP(Q18,Pb!$A$2:$AV$103,22)),0))*E18</f>
        <v>0</v>
      </c>
      <c r="Z18" s="5">
        <f>(IF(AND((O18="Pb"),(K18="Adult (&gt; 15 years)")),(VLOOKUP(Q18,Pb!$A$2:$AV$103,48)),0))*E18</f>
        <v>0</v>
      </c>
      <c r="AA18" s="5">
        <f>(IF(AND((O18="Hg"),(K18="Child (0-7 years)")),(VLOOKUP(S18,'Hg Values'!$A$1:$M$30,3)),0))*E18</f>
        <v>0</v>
      </c>
      <c r="AB18" s="5">
        <f>(IF(AND((O18="Hg"),(K18="Child (0-7 years)")),(VLOOKUP(Q18,'Hg Values'!$A$1:$M$30,13)),0))*E18</f>
        <v>0</v>
      </c>
      <c r="AC18" s="5">
        <f>((IF(AND((O18="CA"),(K18="Adult (&gt; 15 years)")),(VLOOKUP(L18,CA_ingestion!A$1:J$78,7,0)),0))*((Q18/1000000)*R18*70))/14</f>
        <v>0</v>
      </c>
      <c r="AD18" s="5">
        <f t="shared" si="8"/>
        <v>0</v>
      </c>
      <c r="AE18" s="5">
        <f>((IF(AND((O18="CA"),(K18="Adult (&gt; 15 years)")),(AD18*(VLOOKUP(L18,CA_ingestion!A$1:J$78,10,0))),0)))</f>
        <v>0</v>
      </c>
      <c r="AF18" s="5">
        <f t="shared" si="9"/>
        <v>0</v>
      </c>
      <c r="AG18" s="5">
        <f t="shared" si="10"/>
        <v>0</v>
      </c>
    </row>
    <row r="19" spans="4:33">
      <c r="D19" s="29" t="s">
        <v>369</v>
      </c>
      <c r="E19" s="35">
        <f>VLOOKUP(D19,'List Data'!$A$100:$B$104,2,0)</f>
        <v>0</v>
      </c>
      <c r="F19" s="30">
        <v>0</v>
      </c>
      <c r="G19" s="30"/>
      <c r="H19" s="30"/>
      <c r="I19" s="5" t="str">
        <f>Summary!C$23</f>
        <v>Afghanistan</v>
      </c>
      <c r="J19" s="30"/>
      <c r="K19" s="30" t="s">
        <v>213</v>
      </c>
      <c r="L19" s="30" t="s">
        <v>213</v>
      </c>
      <c r="M19" s="37">
        <f>T19*Summary!$H$27</f>
        <v>0</v>
      </c>
      <c r="N19" s="37">
        <f>U19*Summary!$H$25</f>
        <v>0</v>
      </c>
      <c r="O19" s="5">
        <f>VLOOKUP(L19,'List Data'!A$2:C$94,3,0)</f>
        <v>0</v>
      </c>
      <c r="P19" s="5" t="str">
        <f>VLOOKUP(L19,'List Data'!A$2:B$94,2,0)</f>
        <v>--------</v>
      </c>
      <c r="Q19" s="5">
        <f t="shared" si="5"/>
        <v>0</v>
      </c>
      <c r="R19" s="5">
        <f t="shared" si="6"/>
        <v>50</v>
      </c>
      <c r="S19" s="5">
        <f t="shared" si="11"/>
        <v>0</v>
      </c>
      <c r="T19" s="5">
        <f t="shared" si="12"/>
        <v>0</v>
      </c>
      <c r="U19" s="5">
        <f t="shared" si="7"/>
        <v>0</v>
      </c>
      <c r="V19" s="5">
        <f>(IF(AND((O19="OP"),(K19="Child (0-7 years)")),VLOOKUP(($R19*(Q19/1000000)),'OP Values'!$A$1:$Q$35,7),))*E19</f>
        <v>0</v>
      </c>
      <c r="W19" s="5">
        <f>(IF(O19="OP",VLOOKUP(($R19*(F19/1000000)),'OP Values'!$A$1:$Q$35,17),))*E19</f>
        <v>0</v>
      </c>
      <c r="X19" s="5">
        <f>(IF(AND((O19="Pb"),(K19="Child (0-7 years)")),(VLOOKUP(Q19,Pb!$A$2:$AV$103,13)),0))*E19</f>
        <v>0</v>
      </c>
      <c r="Y19" s="5">
        <f>(IF(AND((O19="Pb"),(K19="Child (0-7 years)")),(VLOOKUP(Q19,Pb!$A$2:$AV$103,22)),0))*E19</f>
        <v>0</v>
      </c>
      <c r="Z19" s="5">
        <f>(IF(AND((O19="Pb"),(K19="Adult (&gt; 15 years)")),(VLOOKUP(Q19,Pb!$A$2:$AV$103,48)),0))*E19</f>
        <v>0</v>
      </c>
      <c r="AA19" s="5">
        <f>(IF(AND((O19="Hg"),(K19="Child (0-7 years)")),(VLOOKUP(S19,'Hg Values'!$A$1:$M$30,3)),0))*E19</f>
        <v>0</v>
      </c>
      <c r="AB19" s="5">
        <f>(IF(AND((O19="Hg"),(K19="Child (0-7 years)")),(VLOOKUP(Q19,'Hg Values'!$A$1:$M$30,13)),0))*E19</f>
        <v>0</v>
      </c>
      <c r="AC19" s="5">
        <f>((IF(AND((O19="CA"),(K19="Adult (&gt; 15 years)")),(VLOOKUP(L19,CA_ingestion!A$1:J$78,7,0)),0))*((Q19/1000000)*R19*70))/14</f>
        <v>0</v>
      </c>
      <c r="AD19" s="5">
        <f t="shared" si="8"/>
        <v>0</v>
      </c>
      <c r="AE19" s="5">
        <f>((IF(AND((O19="CA"),(K19="Adult (&gt; 15 years)")),(AD19*(VLOOKUP(L19,CA_ingestion!A$1:J$78,10,0))),0)))</f>
        <v>0</v>
      </c>
      <c r="AF19" s="5">
        <f t="shared" si="9"/>
        <v>0</v>
      </c>
      <c r="AG19" s="5">
        <f t="shared" si="10"/>
        <v>0</v>
      </c>
    </row>
    <row r="20" spans="4:33">
      <c r="D20" s="29" t="s">
        <v>369</v>
      </c>
      <c r="E20" s="35">
        <f>VLOOKUP(D20,'List Data'!$A$100:$B$104,2,0)</f>
        <v>0</v>
      </c>
      <c r="F20" s="30">
        <v>0</v>
      </c>
      <c r="G20" s="30"/>
      <c r="H20" s="30"/>
      <c r="I20" s="5" t="str">
        <f>Summary!C$23</f>
        <v>Afghanistan</v>
      </c>
      <c r="J20" s="30"/>
      <c r="K20" s="30" t="s">
        <v>213</v>
      </c>
      <c r="L20" s="30" t="s">
        <v>213</v>
      </c>
      <c r="M20" s="37">
        <f>T20*Summary!$H$27</f>
        <v>0</v>
      </c>
      <c r="N20" s="37">
        <f>U20*Summary!$H$25</f>
        <v>0</v>
      </c>
      <c r="O20" s="5">
        <f>VLOOKUP(L20,'List Data'!A$2:C$94,3,0)</f>
        <v>0</v>
      </c>
      <c r="P20" s="5" t="str">
        <f>VLOOKUP(L20,'List Data'!A$2:B$94,2,0)</f>
        <v>--------</v>
      </c>
      <c r="Q20" s="5">
        <f t="shared" si="5"/>
        <v>0</v>
      </c>
      <c r="R20" s="5">
        <f t="shared" si="6"/>
        <v>50</v>
      </c>
      <c r="S20" s="5">
        <f t="shared" si="11"/>
        <v>0</v>
      </c>
      <c r="T20" s="5">
        <f t="shared" si="12"/>
        <v>0</v>
      </c>
      <c r="U20" s="5">
        <f t="shared" si="7"/>
        <v>0</v>
      </c>
      <c r="V20" s="5">
        <f>(IF(AND((O20="OP"),(K20="Child (0-7 years)")),VLOOKUP(($R20*(Q20/1000000)),'OP Values'!$A$1:$Q$35,7),))*E20</f>
        <v>0</v>
      </c>
      <c r="W20" s="5">
        <f>(IF(O20="OP",VLOOKUP(($R20*(F20/1000000)),'OP Values'!$A$1:$Q$35,17),))*E20</f>
        <v>0</v>
      </c>
      <c r="X20" s="5">
        <f>(IF(AND((O20="Pb"),(K20="Child (0-7 years)")),(VLOOKUP(Q20,Pb!$A$2:$AV$103,13)),0))*E20</f>
        <v>0</v>
      </c>
      <c r="Y20" s="5">
        <f>(IF(AND((O20="Pb"),(K20="Child (0-7 years)")),(VLOOKUP(Q20,Pb!$A$2:$AV$103,22)),0))*E20</f>
        <v>0</v>
      </c>
      <c r="Z20" s="5">
        <f>(IF(AND((O20="Pb"),(K20="Adult (&gt; 15 years)")),(VLOOKUP(Q20,Pb!$A$2:$AV$103,48)),0))*E20</f>
        <v>0</v>
      </c>
      <c r="AA20" s="5">
        <f>(IF(AND((O20="Hg"),(K20="Child (0-7 years)")),(VLOOKUP(S20,'Hg Values'!$A$1:$M$30,3)),0))*E20</f>
        <v>0</v>
      </c>
      <c r="AB20" s="5">
        <f>(IF(AND((O20="Hg"),(K20="Child (0-7 years)")),(VLOOKUP(Q20,'Hg Values'!$A$1:$M$30,13)),0))*E20</f>
        <v>0</v>
      </c>
      <c r="AC20" s="5">
        <f>((IF(AND((O20="CA"),(K20="Adult (&gt; 15 years)")),(VLOOKUP(L20,CA_ingestion!A$1:J$78,7,0)),0))*((Q20/1000000)*R20*70))/14</f>
        <v>0</v>
      </c>
      <c r="AD20" s="5">
        <f t="shared" si="8"/>
        <v>0</v>
      </c>
      <c r="AE20" s="5">
        <f>((IF(AND((O20="CA"),(K20="Adult (&gt; 15 years)")),(AD20*(VLOOKUP(L20,CA_ingestion!A$1:J$78,10,0))),0)))</f>
        <v>0</v>
      </c>
      <c r="AF20" s="5">
        <f t="shared" si="9"/>
        <v>0</v>
      </c>
      <c r="AG20" s="5">
        <f t="shared" si="10"/>
        <v>0</v>
      </c>
    </row>
    <row r="21" spans="4:33">
      <c r="D21" s="29" t="s">
        <v>369</v>
      </c>
      <c r="E21" s="35">
        <f>VLOOKUP(D21,'List Data'!$A$100:$B$104,2,0)</f>
        <v>0</v>
      </c>
      <c r="F21" s="30">
        <v>0</v>
      </c>
      <c r="G21" s="30"/>
      <c r="H21" s="30"/>
      <c r="I21" s="5" t="str">
        <f>Summary!C$23</f>
        <v>Afghanistan</v>
      </c>
      <c r="J21" s="30"/>
      <c r="K21" s="30" t="s">
        <v>213</v>
      </c>
      <c r="L21" s="30" t="s">
        <v>213</v>
      </c>
      <c r="M21" s="37">
        <f>T21*Summary!$H$27</f>
        <v>0</v>
      </c>
      <c r="N21" s="37">
        <f>U21*Summary!$H$25</f>
        <v>0</v>
      </c>
      <c r="O21" s="5">
        <f>VLOOKUP(L21,'List Data'!A$2:C$94,3,0)</f>
        <v>0</v>
      </c>
      <c r="P21" s="5" t="str">
        <f>VLOOKUP(L21,'List Data'!A$2:B$94,2,0)</f>
        <v>--------</v>
      </c>
      <c r="Q21" s="5">
        <f t="shared" si="5"/>
        <v>0</v>
      </c>
      <c r="R21" s="5">
        <f t="shared" si="6"/>
        <v>50</v>
      </c>
      <c r="S21" s="5">
        <f t="shared" si="11"/>
        <v>0</v>
      </c>
      <c r="T21" s="5">
        <f t="shared" si="12"/>
        <v>0</v>
      </c>
      <c r="U21" s="5">
        <f t="shared" si="7"/>
        <v>0</v>
      </c>
      <c r="V21" s="5">
        <f>(IF(AND((O21="OP"),(K21="Child (0-7 years)")),VLOOKUP(($R21*(Q21/1000000)),'OP Values'!$A$1:$Q$35,7),))*E21</f>
        <v>0</v>
      </c>
      <c r="W21" s="5">
        <f>(IF(O21="OP",VLOOKUP(($R21*(F21/1000000)),'OP Values'!$A$1:$Q$35,17),))*E21</f>
        <v>0</v>
      </c>
      <c r="X21" s="5">
        <f>(IF(AND((O21="Pb"),(K21="Child (0-7 years)")),(VLOOKUP(Q21,Pb!$A$2:$AV$103,13)),0))*E21</f>
        <v>0</v>
      </c>
      <c r="Y21" s="5">
        <f>(IF(AND((O21="Pb"),(K21="Child (0-7 years)")),(VLOOKUP(Q21,Pb!$A$2:$AV$103,22)),0))*E21</f>
        <v>0</v>
      </c>
      <c r="Z21" s="5">
        <f>(IF(AND((O21="Pb"),(K21="Adult (&gt; 15 years)")),(VLOOKUP(Q21,Pb!$A$2:$AV$103,48)),0))*E21</f>
        <v>0</v>
      </c>
      <c r="AA21" s="5">
        <f>(IF(AND((O21="Hg"),(K21="Child (0-7 years)")),(VLOOKUP(S21,'Hg Values'!$A$1:$M$30,3)),0))*E21</f>
        <v>0</v>
      </c>
      <c r="AB21" s="5">
        <f>(IF(AND((O21="Hg"),(K21="Child (0-7 years)")),(VLOOKUP(Q21,'Hg Values'!$A$1:$M$30,13)),0))*E21</f>
        <v>0</v>
      </c>
      <c r="AC21" s="5">
        <f>((IF(AND((O21="CA"),(K21="Adult (&gt; 15 years)")),(VLOOKUP(L21,CA_ingestion!A$1:J$78,7,0)),0))*((Q21/1000000)*R21*70))/14</f>
        <v>0</v>
      </c>
      <c r="AD21" s="5">
        <f t="shared" si="8"/>
        <v>0</v>
      </c>
      <c r="AE21" s="5">
        <f>((IF(AND((O21="CA"),(K21="Adult (&gt; 15 years)")),(AD21*(VLOOKUP(L21,CA_ingestion!A$1:J$78,10,0))),0)))</f>
        <v>0</v>
      </c>
      <c r="AF21" s="5">
        <f t="shared" si="9"/>
        <v>0</v>
      </c>
      <c r="AG21" s="5">
        <f t="shared" si="10"/>
        <v>0</v>
      </c>
    </row>
    <row r="22" spans="4:33">
      <c r="D22" s="29" t="s">
        <v>369</v>
      </c>
      <c r="E22" s="35">
        <f>VLOOKUP(D22,'List Data'!$A$100:$B$104,2,0)</f>
        <v>0</v>
      </c>
      <c r="F22" s="30">
        <v>0</v>
      </c>
      <c r="G22" s="30"/>
      <c r="H22" s="30"/>
      <c r="I22" s="5" t="str">
        <f>Summary!C$23</f>
        <v>Afghanistan</v>
      </c>
      <c r="J22" s="30"/>
      <c r="K22" s="30" t="s">
        <v>213</v>
      </c>
      <c r="L22" s="30" t="s">
        <v>213</v>
      </c>
      <c r="M22" s="37">
        <f>T22*Summary!$H$27</f>
        <v>0</v>
      </c>
      <c r="N22" s="37">
        <f>U22*Summary!$H$25</f>
        <v>0</v>
      </c>
      <c r="O22" s="5">
        <f>VLOOKUP(L22,'List Data'!A$2:C$94,3,0)</f>
        <v>0</v>
      </c>
      <c r="P22" s="5" t="str">
        <f>VLOOKUP(L22,'List Data'!A$2:B$94,2,0)</f>
        <v>--------</v>
      </c>
      <c r="Q22" s="5">
        <f t="shared" si="5"/>
        <v>0</v>
      </c>
      <c r="R22" s="5">
        <f t="shared" si="6"/>
        <v>50</v>
      </c>
      <c r="S22" s="5">
        <f t="shared" si="11"/>
        <v>0</v>
      </c>
      <c r="T22" s="5">
        <f t="shared" si="12"/>
        <v>0</v>
      </c>
      <c r="U22" s="5">
        <f t="shared" si="7"/>
        <v>0</v>
      </c>
      <c r="V22" s="5">
        <f>(IF(AND((O22="OP"),(K22="Child (0-7 years)")),VLOOKUP(($R22*(Q22/1000000)),'OP Values'!$A$1:$Q$35,7),))*E22</f>
        <v>0</v>
      </c>
      <c r="W22" s="5">
        <f>(IF(O22="OP",VLOOKUP(($R22*(F22/1000000)),'OP Values'!$A$1:$Q$35,17),))*E22</f>
        <v>0</v>
      </c>
      <c r="X22" s="5">
        <f>(IF(AND((O22="Pb"),(K22="Child (0-7 years)")),(VLOOKUP(Q22,Pb!$A$2:$AV$103,13)),0))*E22</f>
        <v>0</v>
      </c>
      <c r="Y22" s="5">
        <f>(IF(AND((O22="Pb"),(K22="Child (0-7 years)")),(VLOOKUP(Q22,Pb!$A$2:$AV$103,22)),0))*E22</f>
        <v>0</v>
      </c>
      <c r="Z22" s="5">
        <f>(IF(AND((O22="Pb"),(K22="Adult (&gt; 15 years)")),(VLOOKUP(Q22,Pb!$A$2:$AV$103,48)),0))*E22</f>
        <v>0</v>
      </c>
      <c r="AA22" s="5">
        <f>(IF(AND((O22="Hg"),(K22="Child (0-7 years)")),(VLOOKUP(S22,'Hg Values'!$A$1:$M$30,3)),0))*E22</f>
        <v>0</v>
      </c>
      <c r="AB22" s="5">
        <f>(IF(AND((O22="Hg"),(K22="Child (0-7 years)")),(VLOOKUP(Q22,'Hg Values'!$A$1:$M$30,13)),0))*E22</f>
        <v>0</v>
      </c>
      <c r="AC22" s="5">
        <f>((IF(AND((O22="CA"),(K22="Adult (&gt; 15 years)")),(VLOOKUP(L22,CA_ingestion!A$1:J$78,7,0)),0))*((Q22/1000000)*R22*70))/14</f>
        <v>0</v>
      </c>
      <c r="AD22" s="5">
        <f t="shared" si="8"/>
        <v>0</v>
      </c>
      <c r="AE22" s="5">
        <f>((IF(AND((O22="CA"),(K22="Adult (&gt; 15 years)")),(AD22*(VLOOKUP(L22,CA_ingestion!A$1:J$78,10,0))),0)))</f>
        <v>0</v>
      </c>
      <c r="AF22" s="5">
        <f t="shared" si="9"/>
        <v>0</v>
      </c>
      <c r="AG22" s="5">
        <f t="shared" si="10"/>
        <v>0</v>
      </c>
    </row>
    <row r="23" spans="4:33">
      <c r="D23" s="29" t="s">
        <v>369</v>
      </c>
      <c r="E23" s="35">
        <f>VLOOKUP(D23,'List Data'!$A$100:$B$104,2,0)</f>
        <v>0</v>
      </c>
      <c r="F23" s="30">
        <v>0</v>
      </c>
      <c r="G23" s="30"/>
      <c r="H23" s="30"/>
      <c r="I23" s="5" t="str">
        <f>Summary!C$23</f>
        <v>Afghanistan</v>
      </c>
      <c r="J23" s="30"/>
      <c r="K23" s="30" t="s">
        <v>213</v>
      </c>
      <c r="L23" s="30" t="s">
        <v>213</v>
      </c>
      <c r="M23" s="37">
        <f>T23*Summary!$H$27</f>
        <v>0</v>
      </c>
      <c r="N23" s="37">
        <f>U23*Summary!$H$25</f>
        <v>0</v>
      </c>
      <c r="O23" s="5">
        <f>VLOOKUP(L23,'List Data'!A$2:C$94,3,0)</f>
        <v>0</v>
      </c>
      <c r="P23" s="5" t="str">
        <f>VLOOKUP(L23,'List Data'!A$2:B$94,2,0)</f>
        <v>--------</v>
      </c>
      <c r="Q23" s="5">
        <f t="shared" si="5"/>
        <v>0</v>
      </c>
      <c r="R23" s="5">
        <f t="shared" si="6"/>
        <v>50</v>
      </c>
      <c r="S23" s="5">
        <f t="shared" si="11"/>
        <v>0</v>
      </c>
      <c r="T23" s="5">
        <f t="shared" si="12"/>
        <v>0</v>
      </c>
      <c r="U23" s="5">
        <f t="shared" si="7"/>
        <v>0</v>
      </c>
      <c r="V23" s="5">
        <f>(IF(AND((O23="OP"),(K23="Child (0-7 years)")),VLOOKUP(($R23*(Q23/1000000)),'OP Values'!$A$1:$Q$35,7),))*E23</f>
        <v>0</v>
      </c>
      <c r="W23" s="5">
        <f>(IF(O23="OP",VLOOKUP(($R23*(F23/1000000)),'OP Values'!$A$1:$Q$35,17),))*E23</f>
        <v>0</v>
      </c>
      <c r="X23" s="5">
        <f>(IF(AND((O23="Pb"),(K23="Child (0-7 years)")),(VLOOKUP(Q23,Pb!$A$2:$AV$103,13)),0))*E23</f>
        <v>0</v>
      </c>
      <c r="Y23" s="5">
        <f>(IF(AND((O23="Pb"),(K23="Child (0-7 years)")),(VLOOKUP(Q23,Pb!$A$2:$AV$103,22)),0))*E23</f>
        <v>0</v>
      </c>
      <c r="Z23" s="5">
        <f>(IF(AND((O23="Pb"),(K23="Adult (&gt; 15 years)")),(VLOOKUP(Q23,Pb!$A$2:$AV$103,48)),0))*E23</f>
        <v>0</v>
      </c>
      <c r="AA23" s="5">
        <f>(IF(AND((O23="Hg"),(K23="Child (0-7 years)")),(VLOOKUP(S23,'Hg Values'!$A$1:$M$30,3)),0))*E23</f>
        <v>0</v>
      </c>
      <c r="AB23" s="5">
        <f>(IF(AND((O23="Hg"),(K23="Child (0-7 years)")),(VLOOKUP(Q23,'Hg Values'!$A$1:$M$30,13)),0))*E23</f>
        <v>0</v>
      </c>
      <c r="AC23" s="5">
        <f>((IF(AND((O23="CA"),(K23="Adult (&gt; 15 years)")),(VLOOKUP(L23,CA_ingestion!A$1:J$78,7,0)),0))*((Q23/1000000)*R23*70))/14</f>
        <v>0</v>
      </c>
      <c r="AD23" s="5">
        <f t="shared" si="8"/>
        <v>0</v>
      </c>
      <c r="AE23" s="5">
        <f>((IF(AND((O23="CA"),(K23="Adult (&gt; 15 years)")),(AD23*(VLOOKUP(L23,CA_ingestion!A$1:J$78,10,0))),0)))</f>
        <v>0</v>
      </c>
      <c r="AF23" s="5">
        <f t="shared" si="9"/>
        <v>0</v>
      </c>
      <c r="AG23" s="5">
        <f t="shared" si="10"/>
        <v>0</v>
      </c>
    </row>
    <row r="24" spans="4:33">
      <c r="D24" s="29" t="s">
        <v>369</v>
      </c>
      <c r="E24" s="35">
        <f>VLOOKUP(D24,'List Data'!$A$100:$B$104,2,0)</f>
        <v>0</v>
      </c>
      <c r="F24" s="30">
        <v>0</v>
      </c>
      <c r="G24" s="30"/>
      <c r="H24" s="30"/>
      <c r="I24" s="5" t="str">
        <f>Summary!C$23</f>
        <v>Afghanistan</v>
      </c>
      <c r="J24" s="30"/>
      <c r="K24" s="30" t="s">
        <v>213</v>
      </c>
      <c r="L24" s="30" t="s">
        <v>213</v>
      </c>
      <c r="M24" s="37">
        <f>T24*Summary!$H$27</f>
        <v>0</v>
      </c>
      <c r="N24" s="37">
        <f>U24*Summary!$H$25</f>
        <v>0</v>
      </c>
      <c r="O24" s="5">
        <f>VLOOKUP(L24,'List Data'!A$2:C$94,3,0)</f>
        <v>0</v>
      </c>
      <c r="P24" s="5" t="str">
        <f>VLOOKUP(L24,'List Data'!A$2:B$94,2,0)</f>
        <v>--------</v>
      </c>
      <c r="Q24" s="5">
        <f t="shared" si="5"/>
        <v>0</v>
      </c>
      <c r="R24" s="5">
        <f t="shared" si="6"/>
        <v>50</v>
      </c>
      <c r="S24" s="5">
        <f t="shared" si="11"/>
        <v>0</v>
      </c>
      <c r="T24" s="5">
        <f t="shared" si="12"/>
        <v>0</v>
      </c>
      <c r="U24" s="5">
        <f t="shared" si="7"/>
        <v>0</v>
      </c>
      <c r="V24" s="5">
        <f>(IF(AND((O24="OP"),(K24="Child (0-7 years)")),VLOOKUP(($R24*(Q24/1000000)),'OP Values'!$A$1:$Q$35,7),))*E24</f>
        <v>0</v>
      </c>
      <c r="W24" s="5">
        <f>(IF(O24="OP",VLOOKUP(($R24*(F24/1000000)),'OP Values'!$A$1:$Q$35,17),))*E24</f>
        <v>0</v>
      </c>
      <c r="X24" s="5">
        <f>(IF(AND((O24="Pb"),(K24="Child (0-7 years)")),(VLOOKUP(Q24,Pb!$A$2:$AV$103,13)),0))*E24</f>
        <v>0</v>
      </c>
      <c r="Y24" s="5">
        <f>(IF(AND((O24="Pb"),(K24="Child (0-7 years)")),(VLOOKUP(Q24,Pb!$A$2:$AV$103,22)),0))*E24</f>
        <v>0</v>
      </c>
      <c r="Z24" s="5">
        <f>(IF(AND((O24="Pb"),(K24="Adult (&gt; 15 years)")),(VLOOKUP(Q24,Pb!$A$2:$AV$103,48)),0))*E24</f>
        <v>0</v>
      </c>
      <c r="AA24" s="5">
        <f>(IF(AND((O24="Hg"),(K24="Child (0-7 years)")),(VLOOKUP(S24,'Hg Values'!$A$1:$M$30,3)),0))*E24</f>
        <v>0</v>
      </c>
      <c r="AB24" s="5">
        <f>(IF(AND((O24="Hg"),(K24="Child (0-7 years)")),(VLOOKUP(Q24,'Hg Values'!$A$1:$M$30,13)),0))*E24</f>
        <v>0</v>
      </c>
      <c r="AC24" s="5">
        <f>((IF(AND((O24="CA"),(K24="Adult (&gt; 15 years)")),(VLOOKUP(L24,CA_ingestion!A$1:J$78,7,0)),0))*((Q24/1000000)*R24*70))/14</f>
        <v>0</v>
      </c>
      <c r="AD24" s="5">
        <f t="shared" si="8"/>
        <v>0</v>
      </c>
      <c r="AE24" s="5">
        <f>((IF(AND((O24="CA"),(K24="Adult (&gt; 15 years)")),(AD24*(VLOOKUP(L24,CA_ingestion!A$1:J$78,10,0))),0)))</f>
        <v>0</v>
      </c>
      <c r="AF24" s="5">
        <f t="shared" si="9"/>
        <v>0</v>
      </c>
      <c r="AG24" s="5">
        <f t="shared" si="10"/>
        <v>0</v>
      </c>
    </row>
    <row r="25" spans="4:33">
      <c r="D25" s="29" t="s">
        <v>369</v>
      </c>
      <c r="E25" s="35">
        <f>VLOOKUP(D25,'List Data'!$A$100:$B$104,2,0)</f>
        <v>0</v>
      </c>
      <c r="F25" s="30">
        <v>0</v>
      </c>
      <c r="G25" s="30"/>
      <c r="H25" s="30"/>
      <c r="I25" s="5" t="str">
        <f>Summary!C$23</f>
        <v>Afghanistan</v>
      </c>
      <c r="J25" s="30"/>
      <c r="K25" s="30" t="s">
        <v>213</v>
      </c>
      <c r="L25" s="30" t="s">
        <v>213</v>
      </c>
      <c r="M25" s="37">
        <f>T25*Summary!$H$27</f>
        <v>0</v>
      </c>
      <c r="N25" s="37">
        <f>U25*Summary!$H$25</f>
        <v>0</v>
      </c>
      <c r="O25" s="5">
        <f>VLOOKUP(L25,'List Data'!A$2:C$94,3,0)</f>
        <v>0</v>
      </c>
      <c r="P25" s="5" t="str">
        <f>VLOOKUP(L25,'List Data'!A$2:B$94,2,0)</f>
        <v>--------</v>
      </c>
      <c r="Q25" s="5">
        <f t="shared" si="5"/>
        <v>0</v>
      </c>
      <c r="R25" s="5">
        <f t="shared" si="6"/>
        <v>50</v>
      </c>
      <c r="S25" s="5">
        <f t="shared" si="11"/>
        <v>0</v>
      </c>
      <c r="T25" s="5">
        <f t="shared" si="12"/>
        <v>0</v>
      </c>
      <c r="U25" s="5">
        <f t="shared" si="7"/>
        <v>0</v>
      </c>
      <c r="V25" s="5">
        <f>(IF(AND((O25="OP"),(K25="Child (0-7 years)")),VLOOKUP(($R25*(Q25/1000000)),'OP Values'!$A$1:$Q$35,7),))*E25</f>
        <v>0</v>
      </c>
      <c r="W25" s="5">
        <f>(IF(O25="OP",VLOOKUP(($R25*(F25/1000000)),'OP Values'!$A$1:$Q$35,17),))*E25</f>
        <v>0</v>
      </c>
      <c r="X25" s="5">
        <f>(IF(AND((O25="Pb"),(K25="Child (0-7 years)")),(VLOOKUP(Q25,Pb!$A$2:$AV$103,13)),0))*E25</f>
        <v>0</v>
      </c>
      <c r="Y25" s="5">
        <f>(IF(AND((O25="Pb"),(K25="Child (0-7 years)")),(VLOOKUP(Q25,Pb!$A$2:$AV$103,22)),0))*E25</f>
        <v>0</v>
      </c>
      <c r="Z25" s="5">
        <f>(IF(AND((O25="Pb"),(K25="Adult (&gt; 15 years)")),(VLOOKUP(Q25,Pb!$A$2:$AV$103,48)),0))*E25</f>
        <v>0</v>
      </c>
      <c r="AA25" s="5">
        <f>(IF(AND((O25="Hg"),(K25="Child (0-7 years)")),(VLOOKUP(S25,'Hg Values'!$A$1:$M$30,3)),0))*E25</f>
        <v>0</v>
      </c>
      <c r="AB25" s="5">
        <f>(IF(AND((O25="Hg"),(K25="Child (0-7 years)")),(VLOOKUP(Q25,'Hg Values'!$A$1:$M$30,13)),0))*E25</f>
        <v>0</v>
      </c>
      <c r="AC25" s="5">
        <f>((IF(AND((O25="CA"),(K25="Adult (&gt; 15 years)")),(VLOOKUP(L25,CA_ingestion!A$1:J$78,7,0)),0))*((Q25/1000000)*R25*70))/14</f>
        <v>0</v>
      </c>
      <c r="AD25" s="5">
        <f t="shared" si="8"/>
        <v>0</v>
      </c>
      <c r="AE25" s="5">
        <f>((IF(AND((O25="CA"),(K25="Adult (&gt; 15 years)")),(AD25*(VLOOKUP(L25,CA_ingestion!A$1:J$78,10,0))),0)))</f>
        <v>0</v>
      </c>
      <c r="AF25" s="5">
        <f t="shared" si="9"/>
        <v>0</v>
      </c>
      <c r="AG25" s="5">
        <f t="shared" si="10"/>
        <v>0</v>
      </c>
    </row>
    <row r="26" spans="4:33">
      <c r="D26" s="29" t="s">
        <v>369</v>
      </c>
      <c r="E26" s="35">
        <f>VLOOKUP(D26,'List Data'!$A$100:$B$104,2,0)</f>
        <v>0</v>
      </c>
      <c r="F26" s="30">
        <v>0</v>
      </c>
      <c r="G26" s="30"/>
      <c r="H26" s="30"/>
      <c r="I26" s="5" t="str">
        <f>Summary!C$23</f>
        <v>Afghanistan</v>
      </c>
      <c r="J26" s="30"/>
      <c r="K26" s="30" t="s">
        <v>213</v>
      </c>
      <c r="L26" s="30" t="s">
        <v>213</v>
      </c>
      <c r="M26" s="37">
        <f>T26*Summary!$H$27</f>
        <v>0</v>
      </c>
      <c r="N26" s="37">
        <f>U26*Summary!$H$25</f>
        <v>0</v>
      </c>
      <c r="O26" s="5">
        <f>VLOOKUP(L26,'List Data'!A$2:C$94,3,0)</f>
        <v>0</v>
      </c>
      <c r="P26" s="5" t="str">
        <f>VLOOKUP(L26,'List Data'!A$2:B$94,2,0)</f>
        <v>--------</v>
      </c>
      <c r="Q26" s="5">
        <f t="shared" si="5"/>
        <v>0</v>
      </c>
      <c r="R26" s="5">
        <f t="shared" si="6"/>
        <v>50</v>
      </c>
      <c r="S26" s="5">
        <f t="shared" si="11"/>
        <v>0</v>
      </c>
      <c r="T26" s="5">
        <f t="shared" si="12"/>
        <v>0</v>
      </c>
      <c r="U26" s="5">
        <f t="shared" si="7"/>
        <v>0</v>
      </c>
      <c r="V26" s="5">
        <f>(IF(AND((O26="OP"),(K26="Child (0-7 years)")),VLOOKUP(($R26*(Q26/1000000)),'OP Values'!$A$1:$Q$35,7),))*E26</f>
        <v>0</v>
      </c>
      <c r="W26" s="5">
        <f>(IF(O26="OP",VLOOKUP(($R26*(F26/1000000)),'OP Values'!$A$1:$Q$35,17),))*E26</f>
        <v>0</v>
      </c>
      <c r="X26" s="5">
        <f>(IF(AND((O26="Pb"),(K26="Child (0-7 years)")),(VLOOKUP(Q26,Pb!$A$2:$AV$103,13)),0))*E26</f>
        <v>0</v>
      </c>
      <c r="Y26" s="5">
        <f>(IF(AND((O26="Pb"),(K26="Child (0-7 years)")),(VLOOKUP(Q26,Pb!$A$2:$AV$103,22)),0))*E26</f>
        <v>0</v>
      </c>
      <c r="Z26" s="5">
        <f>(IF(AND((O26="Pb"),(K26="Adult (&gt; 15 years)")),(VLOOKUP(Q26,Pb!$A$2:$AV$103,48)),0))*E26</f>
        <v>0</v>
      </c>
      <c r="AA26" s="5">
        <f>(IF(AND((O26="Hg"),(K26="Child (0-7 years)")),(VLOOKUP(S26,'Hg Values'!$A$1:$M$30,3)),0))*E26</f>
        <v>0</v>
      </c>
      <c r="AB26" s="5">
        <f>(IF(AND((O26="Hg"),(K26="Child (0-7 years)")),(VLOOKUP(Q26,'Hg Values'!$A$1:$M$30,13)),0))*E26</f>
        <v>0</v>
      </c>
      <c r="AC26" s="5">
        <f>((IF(AND((O26="CA"),(K26="Adult (&gt; 15 years)")),(VLOOKUP(L26,CA_ingestion!A$1:J$78,7,0)),0))*((Q26/1000000)*R26*70))/14</f>
        <v>0</v>
      </c>
      <c r="AD26" s="5">
        <f t="shared" si="8"/>
        <v>0</v>
      </c>
      <c r="AE26" s="5">
        <f>((IF(AND((O26="CA"),(K26="Adult (&gt; 15 years)")),(AD26*(VLOOKUP(L26,CA_ingestion!A$1:J$78,10,0))),0)))</f>
        <v>0</v>
      </c>
      <c r="AF26" s="5">
        <f t="shared" si="9"/>
        <v>0</v>
      </c>
      <c r="AG26" s="5">
        <f t="shared" si="10"/>
        <v>0</v>
      </c>
    </row>
    <row r="27" spans="4:33">
      <c r="D27" s="29" t="s">
        <v>369</v>
      </c>
      <c r="E27" s="35">
        <f>VLOOKUP(D27,'List Data'!$A$100:$B$104,2,0)</f>
        <v>0</v>
      </c>
      <c r="F27" s="30">
        <v>0</v>
      </c>
      <c r="G27" s="30"/>
      <c r="H27" s="30"/>
      <c r="I27" s="5" t="str">
        <f>Summary!C$23</f>
        <v>Afghanistan</v>
      </c>
      <c r="J27" s="30"/>
      <c r="K27" s="30" t="s">
        <v>213</v>
      </c>
      <c r="L27" s="30" t="s">
        <v>213</v>
      </c>
      <c r="M27" s="37">
        <f>T27*Summary!$H$27</f>
        <v>0</v>
      </c>
      <c r="N27" s="37">
        <f>U27*Summary!$H$25</f>
        <v>0</v>
      </c>
      <c r="O27" s="5">
        <f>VLOOKUP(L27,'List Data'!A$2:C$94,3,0)</f>
        <v>0</v>
      </c>
      <c r="P27" s="5" t="str">
        <f>VLOOKUP(L27,'List Data'!A$2:B$94,2,0)</f>
        <v>--------</v>
      </c>
      <c r="Q27" s="5">
        <f t="shared" si="5"/>
        <v>0</v>
      </c>
      <c r="R27" s="5">
        <f t="shared" si="6"/>
        <v>50</v>
      </c>
      <c r="S27" s="5">
        <f t="shared" si="11"/>
        <v>0</v>
      </c>
      <c r="T27" s="5">
        <f t="shared" si="12"/>
        <v>0</v>
      </c>
      <c r="U27" s="5">
        <f t="shared" si="7"/>
        <v>0</v>
      </c>
      <c r="V27" s="5">
        <f>(IF(AND((O27="OP"),(K27="Child (0-7 years)")),VLOOKUP(($R27*(Q27/1000000)),'OP Values'!$A$1:$Q$35,7),))*E27</f>
        <v>0</v>
      </c>
      <c r="W27" s="5">
        <f>(IF(O27="OP",VLOOKUP(($R27*(F27/1000000)),'OP Values'!$A$1:$Q$35,17),))*E27</f>
        <v>0</v>
      </c>
      <c r="X27" s="5">
        <f>(IF(AND((O27="Pb"),(K27="Child (0-7 years)")),(VLOOKUP(Q27,Pb!$A$2:$AV$103,13)),0))*E27</f>
        <v>0</v>
      </c>
      <c r="Y27" s="5">
        <f>(IF(AND((O27="Pb"),(K27="Child (0-7 years)")),(VLOOKUP(Q27,Pb!$A$2:$AV$103,22)),0))*E27</f>
        <v>0</v>
      </c>
      <c r="Z27" s="5">
        <f>(IF(AND((O27="Pb"),(K27="Adult (&gt; 15 years)")),(VLOOKUP(Q27,Pb!$A$2:$AV$103,48)),0))*E27</f>
        <v>0</v>
      </c>
      <c r="AA27" s="5">
        <f>(IF(AND((O27="Hg"),(K27="Child (0-7 years)")),(VLOOKUP(S27,'Hg Values'!$A$1:$M$30,3)),0))*E27</f>
        <v>0</v>
      </c>
      <c r="AB27" s="5">
        <f>(IF(AND((O27="Hg"),(K27="Child (0-7 years)")),(VLOOKUP(Q27,'Hg Values'!$A$1:$M$30,13)),0))*E27</f>
        <v>0</v>
      </c>
      <c r="AC27" s="5">
        <f>((IF(AND((O27="CA"),(K27="Adult (&gt; 15 years)")),(VLOOKUP(L27,CA_ingestion!A$1:J$78,7,0)),0))*((Q27/1000000)*R27*70))/14</f>
        <v>0</v>
      </c>
      <c r="AD27" s="5">
        <f t="shared" si="8"/>
        <v>0</v>
      </c>
      <c r="AE27" s="5">
        <f>((IF(AND((O27="CA"),(K27="Adult (&gt; 15 years)")),(AD27*(VLOOKUP(L27,CA_ingestion!A$1:J$78,10,0))),0)))</f>
        <v>0</v>
      </c>
      <c r="AF27" s="5">
        <f t="shared" si="9"/>
        <v>0</v>
      </c>
      <c r="AG27" s="5">
        <f t="shared" si="10"/>
        <v>0</v>
      </c>
    </row>
    <row r="28" spans="4:33">
      <c r="D28" s="29" t="s">
        <v>369</v>
      </c>
      <c r="E28" s="35">
        <f>VLOOKUP(D28,'List Data'!$A$100:$B$104,2,0)</f>
        <v>0</v>
      </c>
      <c r="F28" s="30">
        <v>0</v>
      </c>
      <c r="G28" s="30"/>
      <c r="H28" s="30"/>
      <c r="I28" s="5" t="str">
        <f>Summary!C$23</f>
        <v>Afghanistan</v>
      </c>
      <c r="J28" s="30"/>
      <c r="K28" s="30" t="s">
        <v>213</v>
      </c>
      <c r="L28" s="30" t="s">
        <v>213</v>
      </c>
      <c r="M28" s="37">
        <f>T28*Summary!$H$27</f>
        <v>0</v>
      </c>
      <c r="N28" s="37">
        <f>U28*Summary!$H$25</f>
        <v>0</v>
      </c>
      <c r="O28" s="5">
        <f>VLOOKUP(L28,'List Data'!A$2:C$94,3,0)</f>
        <v>0</v>
      </c>
      <c r="P28" s="5" t="str">
        <f>VLOOKUP(L28,'List Data'!A$2:B$94,2,0)</f>
        <v>--------</v>
      </c>
      <c r="Q28" s="5">
        <f t="shared" si="5"/>
        <v>0</v>
      </c>
      <c r="R28" s="5">
        <f t="shared" si="6"/>
        <v>50</v>
      </c>
      <c r="S28" s="5">
        <f t="shared" si="11"/>
        <v>0</v>
      </c>
      <c r="T28" s="5">
        <f t="shared" si="12"/>
        <v>0</v>
      </c>
      <c r="U28" s="5">
        <f t="shared" si="7"/>
        <v>0</v>
      </c>
      <c r="V28" s="5">
        <f>(IF(AND((O28="OP"),(K28="Child (0-7 years)")),VLOOKUP(($R28*(Q28/1000000)),'OP Values'!$A$1:$Q$35,7),))*E28</f>
        <v>0</v>
      </c>
      <c r="W28" s="5">
        <f>(IF(O28="OP",VLOOKUP(($R28*(F28/1000000)),'OP Values'!$A$1:$Q$35,17),))*E28</f>
        <v>0</v>
      </c>
      <c r="X28" s="5">
        <f>(IF(AND((O28="Pb"),(K28="Child (0-7 years)")),(VLOOKUP(Q28,Pb!$A$2:$AV$103,13)),0))*E28</f>
        <v>0</v>
      </c>
      <c r="Y28" s="5">
        <f>(IF(AND((O28="Pb"),(K28="Child (0-7 years)")),(VLOOKUP(Q28,Pb!$A$2:$AV$103,22)),0))*E28</f>
        <v>0</v>
      </c>
      <c r="Z28" s="5">
        <f>(IF(AND((O28="Pb"),(K28="Adult (&gt; 15 years)")),(VLOOKUP(Q28,Pb!$A$2:$AV$103,48)),0))*E28</f>
        <v>0</v>
      </c>
      <c r="AA28" s="5">
        <f>(IF(AND((O28="Hg"),(K28="Child (0-7 years)")),(VLOOKUP(S28,'Hg Values'!$A$1:$M$30,3)),0))*E28</f>
        <v>0</v>
      </c>
      <c r="AB28" s="5">
        <f>(IF(AND((O28="Hg"),(K28="Child (0-7 years)")),(VLOOKUP(Q28,'Hg Values'!$A$1:$M$30,13)),0))*E28</f>
        <v>0</v>
      </c>
      <c r="AC28" s="5">
        <f>((IF(AND((O28="CA"),(K28="Adult (&gt; 15 years)")),(VLOOKUP(L28,CA_ingestion!A$1:J$78,7,0)),0))*((Q28/1000000)*R28*70))/14</f>
        <v>0</v>
      </c>
      <c r="AD28" s="5">
        <f t="shared" si="8"/>
        <v>0</v>
      </c>
      <c r="AE28" s="5">
        <f>((IF(AND((O28="CA"),(K28="Adult (&gt; 15 years)")),(AD28*(VLOOKUP(L28,CA_ingestion!A$1:J$78,10,0))),0)))</f>
        <v>0</v>
      </c>
      <c r="AF28" s="5">
        <f t="shared" si="9"/>
        <v>0</v>
      </c>
      <c r="AG28" s="5">
        <f t="shared" si="10"/>
        <v>0</v>
      </c>
    </row>
    <row r="29" spans="4:33">
      <c r="D29" s="29" t="s">
        <v>369</v>
      </c>
      <c r="E29" s="35">
        <f>VLOOKUP(D29,'List Data'!$A$100:$B$104,2,0)</f>
        <v>0</v>
      </c>
      <c r="F29" s="30">
        <v>0</v>
      </c>
      <c r="G29" s="30"/>
      <c r="H29" s="30"/>
      <c r="I29" s="5" t="str">
        <f>Summary!C$23</f>
        <v>Afghanistan</v>
      </c>
      <c r="J29" s="30"/>
      <c r="K29" s="30" t="s">
        <v>213</v>
      </c>
      <c r="L29" s="30" t="s">
        <v>213</v>
      </c>
      <c r="M29" s="37">
        <f>T29*Summary!$H$27</f>
        <v>0</v>
      </c>
      <c r="N29" s="37">
        <f>U29*Summary!$H$25</f>
        <v>0</v>
      </c>
      <c r="O29" s="5">
        <f>VLOOKUP(L29,'List Data'!A$2:C$94,3,0)</f>
        <v>0</v>
      </c>
      <c r="P29" s="5" t="str">
        <f>VLOOKUP(L29,'List Data'!A$2:B$94,2,0)</f>
        <v>--------</v>
      </c>
      <c r="Q29" s="5">
        <f t="shared" si="5"/>
        <v>0</v>
      </c>
      <c r="R29" s="5">
        <f t="shared" si="6"/>
        <v>50</v>
      </c>
      <c r="S29" s="5">
        <f t="shared" si="11"/>
        <v>0</v>
      </c>
      <c r="T29" s="5">
        <f t="shared" si="12"/>
        <v>0</v>
      </c>
      <c r="U29" s="5">
        <f t="shared" si="7"/>
        <v>0</v>
      </c>
      <c r="V29" s="5">
        <f>(IF(AND((O29="OP"),(K29="Child (0-7 years)")),VLOOKUP(($R29*(Q29/1000000)),'OP Values'!$A$1:$Q$35,7),))*E29</f>
        <v>0</v>
      </c>
      <c r="W29" s="5">
        <f>(IF(O29="OP",VLOOKUP(($R29*(F29/1000000)),'OP Values'!$A$1:$Q$35,17),))*E29</f>
        <v>0</v>
      </c>
      <c r="X29" s="5">
        <f>(IF(AND((O29="Pb"),(K29="Child (0-7 years)")),(VLOOKUP(Q29,Pb!$A$2:$AV$103,13)),0))*E29</f>
        <v>0</v>
      </c>
      <c r="Y29" s="5">
        <f>(IF(AND((O29="Pb"),(K29="Child (0-7 years)")),(VLOOKUP(Q29,Pb!$A$2:$AV$103,22)),0))*E29</f>
        <v>0</v>
      </c>
      <c r="Z29" s="5">
        <f>(IF(AND((O29="Pb"),(K29="Adult (&gt; 15 years)")),(VLOOKUP(Q29,Pb!$A$2:$AV$103,48)),0))*E29</f>
        <v>0</v>
      </c>
      <c r="AA29" s="5">
        <f>(IF(AND((O29="Hg"),(K29="Child (0-7 years)")),(VLOOKUP(S29,'Hg Values'!$A$1:$M$30,3)),0))*E29</f>
        <v>0</v>
      </c>
      <c r="AB29" s="5">
        <f>(IF(AND((O29="Hg"),(K29="Child (0-7 years)")),(VLOOKUP(Q29,'Hg Values'!$A$1:$M$30,13)),0))*E29</f>
        <v>0</v>
      </c>
      <c r="AC29" s="5">
        <f>((IF(AND((O29="CA"),(K29="Adult (&gt; 15 years)")),(VLOOKUP(L29,CA_ingestion!A$1:J$78,7,0)),0))*((Q29/1000000)*R29*70))/14</f>
        <v>0</v>
      </c>
      <c r="AD29" s="5">
        <f t="shared" si="8"/>
        <v>0</v>
      </c>
      <c r="AE29" s="5">
        <f>((IF(AND((O29="CA"),(K29="Adult (&gt; 15 years)")),(AD29*(VLOOKUP(L29,CA_ingestion!A$1:J$78,10,0))),0)))</f>
        <v>0</v>
      </c>
      <c r="AF29" s="5">
        <f t="shared" si="9"/>
        <v>0</v>
      </c>
      <c r="AG29" s="5">
        <f t="shared" si="10"/>
        <v>0</v>
      </c>
    </row>
    <row r="30" spans="4:33">
      <c r="D30" s="29" t="s">
        <v>369</v>
      </c>
      <c r="E30" s="35">
        <f>VLOOKUP(D30,'List Data'!$A$100:$B$104,2,0)</f>
        <v>0</v>
      </c>
      <c r="F30" s="30">
        <v>0</v>
      </c>
      <c r="G30" s="30"/>
      <c r="H30" s="30"/>
      <c r="I30" s="5" t="str">
        <f>Summary!C$23</f>
        <v>Afghanistan</v>
      </c>
      <c r="J30" s="30"/>
      <c r="K30" s="30" t="s">
        <v>213</v>
      </c>
      <c r="L30" s="30" t="s">
        <v>213</v>
      </c>
      <c r="M30" s="37">
        <f>T30*Summary!$H$27</f>
        <v>0</v>
      </c>
      <c r="N30" s="37">
        <f>U30*Summary!$H$25</f>
        <v>0</v>
      </c>
      <c r="O30" s="5">
        <f>VLOOKUP(L30,'List Data'!A$2:C$94,3,0)</f>
        <v>0</v>
      </c>
      <c r="P30" s="5" t="str">
        <f>VLOOKUP(L30,'List Data'!A$2:B$94,2,0)</f>
        <v>--------</v>
      </c>
      <c r="Q30" s="5">
        <f t="shared" si="5"/>
        <v>0</v>
      </c>
      <c r="R30" s="5">
        <f t="shared" si="6"/>
        <v>50</v>
      </c>
      <c r="S30" s="5">
        <f t="shared" si="11"/>
        <v>0</v>
      </c>
      <c r="T30" s="5">
        <f t="shared" si="12"/>
        <v>0</v>
      </c>
      <c r="U30" s="5">
        <f t="shared" si="7"/>
        <v>0</v>
      </c>
      <c r="V30" s="5">
        <f>(IF(AND((O30="OP"),(K30="Child (0-7 years)")),VLOOKUP(($R30*(Q30/1000000)),'OP Values'!$A$1:$Q$35,7),))*E30</f>
        <v>0</v>
      </c>
      <c r="W30" s="5">
        <f>(IF(O30="OP",VLOOKUP(($R30*(F30/1000000)),'OP Values'!$A$1:$Q$35,17),))*E30</f>
        <v>0</v>
      </c>
      <c r="X30" s="5">
        <f>(IF(AND((O30="Pb"),(K30="Child (0-7 years)")),(VLOOKUP(Q30,Pb!$A$2:$AV$103,13)),0))*E30</f>
        <v>0</v>
      </c>
      <c r="Y30" s="5">
        <f>(IF(AND((O30="Pb"),(K30="Child (0-7 years)")),(VLOOKUP(Q30,Pb!$A$2:$AV$103,22)),0))*E30</f>
        <v>0</v>
      </c>
      <c r="Z30" s="5">
        <f>(IF(AND((O30="Pb"),(K30="Adult (&gt; 15 years)")),(VLOOKUP(Q30,Pb!$A$2:$AV$103,48)),0))*E30</f>
        <v>0</v>
      </c>
      <c r="AA30" s="5">
        <f>(IF(AND((O30="Hg"),(K30="Child (0-7 years)")),(VLOOKUP(S30,'Hg Values'!$A$1:$M$30,3)),0))*E30</f>
        <v>0</v>
      </c>
      <c r="AB30" s="5">
        <f>(IF(AND((O30="Hg"),(K30="Child (0-7 years)")),(VLOOKUP(Q30,'Hg Values'!$A$1:$M$30,13)),0))*E30</f>
        <v>0</v>
      </c>
      <c r="AC30" s="5">
        <f>((IF(AND((O30="CA"),(K30="Adult (&gt; 15 years)")),(VLOOKUP(L30,CA_ingestion!A$1:J$78,7,0)),0))*((Q30/1000000)*R30*70))/14</f>
        <v>0</v>
      </c>
      <c r="AD30" s="5">
        <f t="shared" si="8"/>
        <v>0</v>
      </c>
      <c r="AE30" s="5">
        <f>((IF(AND((O30="CA"),(K30="Adult (&gt; 15 years)")),(AD30*(VLOOKUP(L30,CA_ingestion!A$1:J$78,10,0))),0)))</f>
        <v>0</v>
      </c>
      <c r="AF30" s="5">
        <f t="shared" si="9"/>
        <v>0</v>
      </c>
      <c r="AG30" s="5">
        <f t="shared" si="10"/>
        <v>0</v>
      </c>
    </row>
    <row r="31" spans="4:33">
      <c r="D31" s="29" t="s">
        <v>369</v>
      </c>
      <c r="E31" s="35">
        <f>VLOOKUP(D31,'List Data'!$A$100:$B$104,2,0)</f>
        <v>0</v>
      </c>
      <c r="F31" s="30">
        <v>0</v>
      </c>
      <c r="G31" s="30"/>
      <c r="H31" s="30"/>
      <c r="I31" s="5" t="str">
        <f>Summary!C$23</f>
        <v>Afghanistan</v>
      </c>
      <c r="J31" s="30"/>
      <c r="K31" s="30" t="s">
        <v>213</v>
      </c>
      <c r="L31" s="30" t="s">
        <v>213</v>
      </c>
      <c r="M31" s="37">
        <f>T31*Summary!$H$27</f>
        <v>0</v>
      </c>
      <c r="N31" s="37">
        <f>U31*Summary!$H$25</f>
        <v>0</v>
      </c>
      <c r="O31" s="5">
        <f>VLOOKUP(L31,'List Data'!A$2:C$94,3,0)</f>
        <v>0</v>
      </c>
      <c r="P31" s="5" t="str">
        <f>VLOOKUP(L31,'List Data'!A$2:B$94,2,0)</f>
        <v>--------</v>
      </c>
      <c r="Q31" s="5">
        <f t="shared" si="5"/>
        <v>0</v>
      </c>
      <c r="R31" s="5">
        <f t="shared" si="6"/>
        <v>50</v>
      </c>
      <c r="S31" s="5">
        <f t="shared" si="11"/>
        <v>0</v>
      </c>
      <c r="T31" s="5">
        <f t="shared" si="12"/>
        <v>0</v>
      </c>
      <c r="U31" s="5">
        <f t="shared" si="7"/>
        <v>0</v>
      </c>
      <c r="V31" s="5">
        <f>(IF(AND((O31="OP"),(K31="Child (0-7 years)")),VLOOKUP(($R31*(Q31/1000000)),'OP Values'!$A$1:$Q$35,7),))*E31</f>
        <v>0</v>
      </c>
      <c r="W31" s="5">
        <f>(IF(O31="OP",VLOOKUP(($R31*(F31/1000000)),'OP Values'!$A$1:$Q$35,17),))*E31</f>
        <v>0</v>
      </c>
      <c r="X31" s="5">
        <f>(IF(AND((O31="Pb"),(K31="Child (0-7 years)")),(VLOOKUP(Q31,Pb!$A$2:$AV$103,13)),0))*E31</f>
        <v>0</v>
      </c>
      <c r="Y31" s="5">
        <f>(IF(AND((O31="Pb"),(K31="Child (0-7 years)")),(VLOOKUP(Q31,Pb!$A$2:$AV$103,22)),0))*E31</f>
        <v>0</v>
      </c>
      <c r="Z31" s="5">
        <f>(IF(AND((O31="Pb"),(K31="Adult (&gt; 15 years)")),(VLOOKUP(Q31,Pb!$A$2:$AV$103,48)),0))*E31</f>
        <v>0</v>
      </c>
      <c r="AA31" s="5">
        <f>(IF(AND((O31="Hg"),(K31="Child (0-7 years)")),(VLOOKUP(S31,'Hg Values'!$A$1:$M$30,3)),0))*E31</f>
        <v>0</v>
      </c>
      <c r="AB31" s="5">
        <f>(IF(AND((O31="Hg"),(K31="Child (0-7 years)")),(VLOOKUP(Q31,'Hg Values'!$A$1:$M$30,13)),0))*E31</f>
        <v>0</v>
      </c>
      <c r="AC31" s="5">
        <f>((IF(AND((O31="CA"),(K31="Adult (&gt; 15 years)")),(VLOOKUP(L31,CA_ingestion!A$1:J$78,7,0)),0))*((Q31/1000000)*R31*70))/14</f>
        <v>0</v>
      </c>
      <c r="AD31" s="5">
        <f t="shared" si="8"/>
        <v>0</v>
      </c>
      <c r="AE31" s="5">
        <f>((IF(AND((O31="CA"),(K31="Adult (&gt; 15 years)")),(AD31*(VLOOKUP(L31,CA_ingestion!A$1:J$78,10,0))),0)))</f>
        <v>0</v>
      </c>
      <c r="AF31" s="5">
        <f t="shared" si="9"/>
        <v>0</v>
      </c>
      <c r="AG31" s="5">
        <f t="shared" si="10"/>
        <v>0</v>
      </c>
    </row>
    <row r="32" spans="4:33">
      <c r="D32" s="29" t="s">
        <v>369</v>
      </c>
      <c r="E32" s="35">
        <f>VLOOKUP(D32,'List Data'!$A$100:$B$104,2,0)</f>
        <v>0</v>
      </c>
      <c r="F32" s="30">
        <v>0</v>
      </c>
      <c r="G32" s="30"/>
      <c r="H32" s="30"/>
      <c r="I32" s="5" t="str">
        <f>Summary!C$23</f>
        <v>Afghanistan</v>
      </c>
      <c r="J32" s="30"/>
      <c r="K32" s="30" t="s">
        <v>213</v>
      </c>
      <c r="L32" s="30" t="s">
        <v>213</v>
      </c>
      <c r="M32" s="37">
        <f>T32*Summary!$H$27</f>
        <v>0</v>
      </c>
      <c r="N32" s="37">
        <f>U32*Summary!$H$25</f>
        <v>0</v>
      </c>
      <c r="O32" s="5">
        <f>VLOOKUP(L32,'List Data'!A$2:C$94,3,0)</f>
        <v>0</v>
      </c>
      <c r="P32" s="5" t="str">
        <f>VLOOKUP(L32,'List Data'!A$2:B$94,2,0)</f>
        <v>--------</v>
      </c>
      <c r="Q32" s="5">
        <f t="shared" si="5"/>
        <v>0</v>
      </c>
      <c r="R32" s="5">
        <f t="shared" si="6"/>
        <v>50</v>
      </c>
      <c r="S32" s="5">
        <f t="shared" si="11"/>
        <v>0</v>
      </c>
      <c r="T32" s="5">
        <f t="shared" si="12"/>
        <v>0</v>
      </c>
      <c r="U32" s="5">
        <f t="shared" si="7"/>
        <v>0</v>
      </c>
      <c r="V32" s="5">
        <f>(IF(AND((O32="OP"),(K32="Child (0-7 years)")),VLOOKUP(($R32*(Q32/1000000)),'OP Values'!$A$1:$Q$35,7),))*E32</f>
        <v>0</v>
      </c>
      <c r="W32" s="5">
        <f>(IF(O32="OP",VLOOKUP(($R32*(F32/1000000)),'OP Values'!$A$1:$Q$35,17),))*E32</f>
        <v>0</v>
      </c>
      <c r="X32" s="5">
        <f>(IF(AND((O32="Pb"),(K32="Child (0-7 years)")),(VLOOKUP(Q32,Pb!$A$2:$AV$103,13)),0))*E32</f>
        <v>0</v>
      </c>
      <c r="Y32" s="5">
        <f>(IF(AND((O32="Pb"),(K32="Child (0-7 years)")),(VLOOKUP(Q32,Pb!$A$2:$AV$103,22)),0))*E32</f>
        <v>0</v>
      </c>
      <c r="Z32" s="5">
        <f>(IF(AND((O32="Pb"),(K32="Adult (&gt; 15 years)")),(VLOOKUP(Q32,Pb!$A$2:$AV$103,48)),0))*E32</f>
        <v>0</v>
      </c>
      <c r="AA32" s="5">
        <f>(IF(AND((O32="Hg"),(K32="Child (0-7 years)")),(VLOOKUP(S32,'Hg Values'!$A$1:$M$30,3)),0))*E32</f>
        <v>0</v>
      </c>
      <c r="AB32" s="5">
        <f>(IF(AND((O32="Hg"),(K32="Child (0-7 years)")),(VLOOKUP(Q32,'Hg Values'!$A$1:$M$30,13)),0))*E32</f>
        <v>0</v>
      </c>
      <c r="AC32" s="5">
        <f>((IF(AND((O32="CA"),(K32="Adult (&gt; 15 years)")),(VLOOKUP(L32,CA_ingestion!A$1:J$78,7,0)),0))*((Q32/1000000)*R32*70))/14</f>
        <v>0</v>
      </c>
      <c r="AD32" s="5">
        <f t="shared" si="8"/>
        <v>0</v>
      </c>
      <c r="AE32" s="5">
        <f>((IF(AND((O32="CA"),(K32="Adult (&gt; 15 years)")),(AD32*(VLOOKUP(L32,CA_ingestion!A$1:J$78,10,0))),0)))</f>
        <v>0</v>
      </c>
      <c r="AF32" s="5">
        <f t="shared" si="9"/>
        <v>0</v>
      </c>
      <c r="AG32" s="5">
        <f t="shared" si="10"/>
        <v>0</v>
      </c>
    </row>
    <row r="33" spans="4:33">
      <c r="D33" s="29" t="s">
        <v>369</v>
      </c>
      <c r="E33" s="35">
        <f>VLOOKUP(D33,'List Data'!$A$100:$B$104,2,0)</f>
        <v>0</v>
      </c>
      <c r="F33" s="30">
        <v>0</v>
      </c>
      <c r="G33" s="30"/>
      <c r="H33" s="30"/>
      <c r="I33" s="5" t="str">
        <f>Summary!C$23</f>
        <v>Afghanistan</v>
      </c>
      <c r="J33" s="30"/>
      <c r="K33" s="30" t="s">
        <v>213</v>
      </c>
      <c r="L33" s="30" t="s">
        <v>213</v>
      </c>
      <c r="M33" s="37">
        <f>T33*Summary!$H$27</f>
        <v>0</v>
      </c>
      <c r="N33" s="37">
        <f>U33*Summary!$H$25</f>
        <v>0</v>
      </c>
      <c r="O33" s="5">
        <f>VLOOKUP(L33,'List Data'!A$2:C$94,3,0)</f>
        <v>0</v>
      </c>
      <c r="P33" s="5" t="str">
        <f>VLOOKUP(L33,'List Data'!A$2:B$94,2,0)</f>
        <v>--------</v>
      </c>
      <c r="Q33" s="5">
        <f t="shared" si="5"/>
        <v>0</v>
      </c>
      <c r="R33" s="5">
        <f t="shared" si="6"/>
        <v>50</v>
      </c>
      <c r="S33" s="5">
        <f t="shared" si="11"/>
        <v>0</v>
      </c>
      <c r="T33" s="5">
        <f t="shared" si="12"/>
        <v>0</v>
      </c>
      <c r="U33" s="5">
        <f t="shared" si="7"/>
        <v>0</v>
      </c>
      <c r="V33" s="5">
        <f>(IF(AND((O33="OP"),(K33="Child (0-7 years)")),VLOOKUP(($R33*(Q33/1000000)),'OP Values'!$A$1:$Q$35,7),))*E33</f>
        <v>0</v>
      </c>
      <c r="W33" s="5">
        <f>(IF(O33="OP",VLOOKUP(($R33*(F33/1000000)),'OP Values'!$A$1:$Q$35,17),))*E33</f>
        <v>0</v>
      </c>
      <c r="X33" s="5">
        <f>(IF(AND((O33="Pb"),(K33="Child (0-7 years)")),(VLOOKUP(Q33,Pb!$A$2:$AV$103,13)),0))*E33</f>
        <v>0</v>
      </c>
      <c r="Y33" s="5">
        <f>(IF(AND((O33="Pb"),(K33="Child (0-7 years)")),(VLOOKUP(Q33,Pb!$A$2:$AV$103,22)),0))*E33</f>
        <v>0</v>
      </c>
      <c r="Z33" s="5">
        <f>(IF(AND((O33="Pb"),(K33="Adult (&gt; 15 years)")),(VLOOKUP(Q33,Pb!$A$2:$AV$103,48)),0))*E33</f>
        <v>0</v>
      </c>
      <c r="AA33" s="5">
        <f>(IF(AND((O33="Hg"),(K33="Child (0-7 years)")),(VLOOKUP(S33,'Hg Values'!$A$1:$M$30,3)),0))*E33</f>
        <v>0</v>
      </c>
      <c r="AB33" s="5">
        <f>(IF(AND((O33="Hg"),(K33="Child (0-7 years)")),(VLOOKUP(Q33,'Hg Values'!$A$1:$M$30,13)),0))*E33</f>
        <v>0</v>
      </c>
      <c r="AC33" s="5">
        <f>((IF(AND((O33="CA"),(K33="Adult (&gt; 15 years)")),(VLOOKUP(L33,CA_ingestion!A$1:J$78,7,0)),0))*((Q33/1000000)*R33*70))/14</f>
        <v>0</v>
      </c>
      <c r="AD33" s="5">
        <f t="shared" si="8"/>
        <v>0</v>
      </c>
      <c r="AE33" s="5">
        <f>((IF(AND((O33="CA"),(K33="Adult (&gt; 15 years)")),(AD33*(VLOOKUP(L33,CA_ingestion!A$1:J$78,10,0))),0)))</f>
        <v>0</v>
      </c>
      <c r="AF33" s="5">
        <f t="shared" si="9"/>
        <v>0</v>
      </c>
      <c r="AG33" s="5">
        <f t="shared" si="10"/>
        <v>0</v>
      </c>
    </row>
    <row r="34" spans="4:33">
      <c r="D34" s="29" t="s">
        <v>369</v>
      </c>
      <c r="E34" s="35">
        <f>VLOOKUP(D34,'List Data'!$A$100:$B$104,2,0)</f>
        <v>0</v>
      </c>
      <c r="F34" s="30">
        <v>0</v>
      </c>
      <c r="G34" s="30"/>
      <c r="H34" s="30"/>
      <c r="I34" s="5" t="str">
        <f>Summary!C$23</f>
        <v>Afghanistan</v>
      </c>
      <c r="J34" s="30"/>
      <c r="K34" s="30" t="s">
        <v>213</v>
      </c>
      <c r="L34" s="30" t="s">
        <v>213</v>
      </c>
      <c r="M34" s="37">
        <f>T34*Summary!$H$27</f>
        <v>0</v>
      </c>
      <c r="N34" s="37">
        <f>U34*Summary!$H$25</f>
        <v>0</v>
      </c>
      <c r="O34" s="5">
        <f>VLOOKUP(L34,'List Data'!A$2:C$94,3,0)</f>
        <v>0</v>
      </c>
      <c r="P34" s="5" t="str">
        <f>VLOOKUP(L34,'List Data'!A$2:B$94,2,0)</f>
        <v>--------</v>
      </c>
      <c r="Q34" s="5">
        <f t="shared" si="5"/>
        <v>0</v>
      </c>
      <c r="R34" s="5">
        <f t="shared" si="6"/>
        <v>50</v>
      </c>
      <c r="S34" s="5">
        <f t="shared" si="11"/>
        <v>0</v>
      </c>
      <c r="T34" s="5">
        <f t="shared" si="12"/>
        <v>0</v>
      </c>
      <c r="U34" s="5">
        <f t="shared" si="7"/>
        <v>0</v>
      </c>
      <c r="V34" s="5">
        <f>(IF(AND((O34="OP"),(K34="Child (0-7 years)")),VLOOKUP(($R34*(Q34/1000000)),'OP Values'!$A$1:$Q$35,7),))*E34</f>
        <v>0</v>
      </c>
      <c r="W34" s="5">
        <f>(IF(O34="OP",VLOOKUP(($R34*(F34/1000000)),'OP Values'!$A$1:$Q$35,17),))*E34</f>
        <v>0</v>
      </c>
      <c r="X34" s="5">
        <f>(IF(AND((O34="Pb"),(K34="Child (0-7 years)")),(VLOOKUP(Q34,Pb!$A$2:$AV$103,13)),0))*E34</f>
        <v>0</v>
      </c>
      <c r="Y34" s="5">
        <f>(IF(AND((O34="Pb"),(K34="Child (0-7 years)")),(VLOOKUP(Q34,Pb!$A$2:$AV$103,22)),0))*E34</f>
        <v>0</v>
      </c>
      <c r="Z34" s="5">
        <f>(IF(AND((O34="Pb"),(K34="Adult (&gt; 15 years)")),(VLOOKUP(Q34,Pb!$A$2:$AV$103,48)),0))*E34</f>
        <v>0</v>
      </c>
      <c r="AA34" s="5">
        <f>(IF(AND((O34="Hg"),(K34="Child (0-7 years)")),(VLOOKUP(S34,'Hg Values'!$A$1:$M$30,3)),0))*E34</f>
        <v>0</v>
      </c>
      <c r="AB34" s="5">
        <f>(IF(AND((O34="Hg"),(K34="Child (0-7 years)")),(VLOOKUP(Q34,'Hg Values'!$A$1:$M$30,13)),0))*E34</f>
        <v>0</v>
      </c>
      <c r="AC34" s="5">
        <f>((IF(AND((O34="CA"),(K34="Adult (&gt; 15 years)")),(VLOOKUP(L34,CA_ingestion!A$1:J$78,7,0)),0))*((Q34/1000000)*R34*70))/14</f>
        <v>0</v>
      </c>
      <c r="AD34" s="5">
        <f t="shared" si="8"/>
        <v>0</v>
      </c>
      <c r="AE34" s="5">
        <f>((IF(AND((O34="CA"),(K34="Adult (&gt; 15 years)")),(AD34*(VLOOKUP(L34,CA_ingestion!A$1:J$78,10,0))),0)))</f>
        <v>0</v>
      </c>
      <c r="AF34" s="5">
        <f t="shared" si="9"/>
        <v>0</v>
      </c>
      <c r="AG34" s="5">
        <f t="shared" si="10"/>
        <v>0</v>
      </c>
    </row>
    <row r="35" spans="4:33">
      <c r="D35" s="29" t="s">
        <v>369</v>
      </c>
      <c r="E35" s="35">
        <f>VLOOKUP(D35,'List Data'!$A$100:$B$104,2,0)</f>
        <v>0</v>
      </c>
      <c r="F35" s="30">
        <v>0</v>
      </c>
      <c r="G35" s="30"/>
      <c r="H35" s="30"/>
      <c r="I35" s="5" t="str">
        <f>Summary!C$23</f>
        <v>Afghanistan</v>
      </c>
      <c r="J35" s="30"/>
      <c r="K35" s="30" t="s">
        <v>213</v>
      </c>
      <c r="L35" s="30" t="s">
        <v>213</v>
      </c>
      <c r="M35" s="37">
        <f>T35*Summary!$H$27</f>
        <v>0</v>
      </c>
      <c r="N35" s="37">
        <f>U35*Summary!$H$25</f>
        <v>0</v>
      </c>
      <c r="O35" s="5">
        <f>VLOOKUP(L35,'List Data'!A$2:C$94,3,0)</f>
        <v>0</v>
      </c>
      <c r="P35" s="5" t="str">
        <f>VLOOKUP(L35,'List Data'!A$2:B$94,2,0)</f>
        <v>--------</v>
      </c>
      <c r="Q35" s="5">
        <f t="shared" si="5"/>
        <v>0</v>
      </c>
      <c r="R35" s="5">
        <f t="shared" si="6"/>
        <v>50</v>
      </c>
      <c r="S35" s="5">
        <f t="shared" si="11"/>
        <v>0</v>
      </c>
      <c r="T35" s="5">
        <f t="shared" si="12"/>
        <v>0</v>
      </c>
      <c r="U35" s="5">
        <f t="shared" si="7"/>
        <v>0</v>
      </c>
      <c r="V35" s="5">
        <f>(IF(AND((O35="OP"),(K35="Child (0-7 years)")),VLOOKUP(($R35*(Q35/1000000)),'OP Values'!$A$1:$Q$35,7),))*E35</f>
        <v>0</v>
      </c>
      <c r="W35" s="5">
        <f>(IF(O35="OP",VLOOKUP(($R35*(F35/1000000)),'OP Values'!$A$1:$Q$35,17),))*E35</f>
        <v>0</v>
      </c>
      <c r="X35" s="5">
        <f>(IF(AND((O35="Pb"),(K35="Child (0-7 years)")),(VLOOKUP(Q35,Pb!$A$2:$AV$103,13)),0))*E35</f>
        <v>0</v>
      </c>
      <c r="Y35" s="5">
        <f>(IF(AND((O35="Pb"),(K35="Child (0-7 years)")),(VLOOKUP(Q35,Pb!$A$2:$AV$103,22)),0))*E35</f>
        <v>0</v>
      </c>
      <c r="Z35" s="5">
        <f>(IF(AND((O35="Pb"),(K35="Adult (&gt; 15 years)")),(VLOOKUP(Q35,Pb!$A$2:$AV$103,48)),0))*E35</f>
        <v>0</v>
      </c>
      <c r="AA35" s="5">
        <f>(IF(AND((O35="Hg"),(K35="Child (0-7 years)")),(VLOOKUP(S35,'Hg Values'!$A$1:$M$30,3)),0))*E35</f>
        <v>0</v>
      </c>
      <c r="AB35" s="5">
        <f>(IF(AND((O35="Hg"),(K35="Child (0-7 years)")),(VLOOKUP(Q35,'Hg Values'!$A$1:$M$30,13)),0))*E35</f>
        <v>0</v>
      </c>
      <c r="AC35" s="5">
        <f>((IF(AND((O35="CA"),(K35="Adult (&gt; 15 years)")),(VLOOKUP(L35,CA_ingestion!A$1:J$78,7,0)),0))*((Q35/1000000)*R35*70))/14</f>
        <v>0</v>
      </c>
      <c r="AD35" s="5">
        <f t="shared" si="8"/>
        <v>0</v>
      </c>
      <c r="AE35" s="5">
        <f>((IF(AND((O35="CA"),(K35="Adult (&gt; 15 years)")),(AD35*(VLOOKUP(L35,CA_ingestion!A$1:J$78,10,0))),0)))</f>
        <v>0</v>
      </c>
      <c r="AF35" s="5">
        <f t="shared" si="9"/>
        <v>0</v>
      </c>
      <c r="AG35" s="5">
        <f t="shared" si="10"/>
        <v>0</v>
      </c>
    </row>
    <row r="36" spans="4:33">
      <c r="D36" s="29" t="s">
        <v>369</v>
      </c>
      <c r="E36" s="35">
        <f>VLOOKUP(D36,'List Data'!$A$100:$B$104,2,0)</f>
        <v>0</v>
      </c>
      <c r="F36" s="30">
        <v>0</v>
      </c>
      <c r="G36" s="30"/>
      <c r="H36" s="30"/>
      <c r="I36" s="5" t="str">
        <f>Summary!C$23</f>
        <v>Afghanistan</v>
      </c>
      <c r="J36" s="30"/>
      <c r="K36" s="30" t="s">
        <v>213</v>
      </c>
      <c r="L36" s="30" t="s">
        <v>213</v>
      </c>
      <c r="M36" s="37">
        <f>T36*Summary!$H$27</f>
        <v>0</v>
      </c>
      <c r="N36" s="37">
        <f>U36*Summary!$H$25</f>
        <v>0</v>
      </c>
      <c r="O36" s="5">
        <f>VLOOKUP(L36,'List Data'!A$2:C$94,3,0)</f>
        <v>0</v>
      </c>
      <c r="P36" s="5" t="str">
        <f>VLOOKUP(L36,'List Data'!A$2:B$94,2,0)</f>
        <v>--------</v>
      </c>
      <c r="Q36" s="5">
        <f t="shared" si="5"/>
        <v>0</v>
      </c>
      <c r="R36" s="5">
        <f t="shared" si="6"/>
        <v>50</v>
      </c>
      <c r="S36" s="5">
        <f t="shared" si="11"/>
        <v>0</v>
      </c>
      <c r="T36" s="5">
        <f t="shared" si="12"/>
        <v>0</v>
      </c>
      <c r="U36" s="5">
        <f t="shared" si="7"/>
        <v>0</v>
      </c>
      <c r="V36" s="5">
        <f>(IF(AND((O36="OP"),(K36="Child (0-7 years)")),VLOOKUP(($R36*(Q36/1000000)),'OP Values'!$A$1:$Q$35,7),))*E36</f>
        <v>0</v>
      </c>
      <c r="W36" s="5">
        <f>(IF(O36="OP",VLOOKUP(($R36*(F36/1000000)),'OP Values'!$A$1:$Q$35,17),))*E36</f>
        <v>0</v>
      </c>
      <c r="X36" s="5">
        <f>(IF(AND((O36="Pb"),(K36="Child (0-7 years)")),(VLOOKUP(Q36,Pb!$A$2:$AV$103,13)),0))*E36</f>
        <v>0</v>
      </c>
      <c r="Y36" s="5">
        <f>(IF(AND((O36="Pb"),(K36="Child (0-7 years)")),(VLOOKUP(Q36,Pb!$A$2:$AV$103,22)),0))*E36</f>
        <v>0</v>
      </c>
      <c r="Z36" s="5">
        <f>(IF(AND((O36="Pb"),(K36="Adult (&gt; 15 years)")),(VLOOKUP(Q36,Pb!$A$2:$AV$103,48)),0))*E36</f>
        <v>0</v>
      </c>
      <c r="AA36" s="5">
        <f>(IF(AND((O36="Hg"),(K36="Child (0-7 years)")),(VLOOKUP(S36,'Hg Values'!$A$1:$M$30,3)),0))*E36</f>
        <v>0</v>
      </c>
      <c r="AB36" s="5">
        <f>(IF(AND((O36="Hg"),(K36="Child (0-7 years)")),(VLOOKUP(Q36,'Hg Values'!$A$1:$M$30,13)),0))*E36</f>
        <v>0</v>
      </c>
      <c r="AC36" s="5">
        <f>((IF(AND((O36="CA"),(K36="Adult (&gt; 15 years)")),(VLOOKUP(L36,CA_ingestion!A$1:J$78,7,0)),0))*((Q36/1000000)*R36*70))/14</f>
        <v>0</v>
      </c>
      <c r="AD36" s="5">
        <f t="shared" si="8"/>
        <v>0</v>
      </c>
      <c r="AE36" s="5">
        <f>((IF(AND((O36="CA"),(K36="Adult (&gt; 15 years)")),(AD36*(VLOOKUP(L36,CA_ingestion!A$1:J$78,10,0))),0)))</f>
        <v>0</v>
      </c>
      <c r="AF36" s="5">
        <f t="shared" si="9"/>
        <v>0</v>
      </c>
      <c r="AG36" s="5">
        <f t="shared" si="10"/>
        <v>0</v>
      </c>
    </row>
    <row r="37" spans="4:33">
      <c r="D37" s="29" t="s">
        <v>369</v>
      </c>
      <c r="E37" s="35">
        <f>VLOOKUP(D37,'List Data'!$A$100:$B$104,2,0)</f>
        <v>0</v>
      </c>
      <c r="F37" s="30">
        <v>0</v>
      </c>
      <c r="G37" s="30"/>
      <c r="H37" s="30"/>
      <c r="I37" s="5" t="str">
        <f>Summary!C$23</f>
        <v>Afghanistan</v>
      </c>
      <c r="J37" s="30"/>
      <c r="K37" s="30" t="s">
        <v>213</v>
      </c>
      <c r="L37" s="30" t="s">
        <v>213</v>
      </c>
      <c r="M37" s="37">
        <f>T37*Summary!$H$27</f>
        <v>0</v>
      </c>
      <c r="N37" s="37">
        <f>U37*Summary!$H$25</f>
        <v>0</v>
      </c>
      <c r="O37" s="5">
        <f>VLOOKUP(L37,'List Data'!A$2:C$94,3,0)</f>
        <v>0</v>
      </c>
      <c r="P37" s="5" t="str">
        <f>VLOOKUP(L37,'List Data'!A$2:B$94,2,0)</f>
        <v>--------</v>
      </c>
      <c r="Q37" s="5">
        <f t="shared" si="5"/>
        <v>0</v>
      </c>
      <c r="R37" s="5">
        <f t="shared" si="6"/>
        <v>50</v>
      </c>
      <c r="S37" s="5">
        <f t="shared" si="11"/>
        <v>0</v>
      </c>
      <c r="T37" s="5">
        <f t="shared" si="12"/>
        <v>0</v>
      </c>
      <c r="U37" s="5">
        <f t="shared" si="7"/>
        <v>0</v>
      </c>
      <c r="V37" s="5">
        <f>(IF(AND((O37="OP"),(K37="Child (0-7 years)")),VLOOKUP(($R37*(Q37/1000000)),'OP Values'!$A$1:$Q$35,7),))*E37</f>
        <v>0</v>
      </c>
      <c r="W37" s="5">
        <f>(IF(O37="OP",VLOOKUP(($R37*(F37/1000000)),'OP Values'!$A$1:$Q$35,17),))*E37</f>
        <v>0</v>
      </c>
      <c r="X37" s="5">
        <f>(IF(AND((O37="Pb"),(K37="Child (0-7 years)")),(VLOOKUP(Q37,Pb!$A$2:$AV$103,13)),0))*E37</f>
        <v>0</v>
      </c>
      <c r="Y37" s="5">
        <f>(IF(AND((O37="Pb"),(K37="Child (0-7 years)")),(VLOOKUP(Q37,Pb!$A$2:$AV$103,22)),0))*E37</f>
        <v>0</v>
      </c>
      <c r="Z37" s="5">
        <f>(IF(AND((O37="Pb"),(K37="Adult (&gt; 15 years)")),(VLOOKUP(Q37,Pb!$A$2:$AV$103,48)),0))*E37</f>
        <v>0</v>
      </c>
      <c r="AA37" s="5">
        <f>(IF(AND((O37="Hg"),(K37="Child (0-7 years)")),(VLOOKUP(S37,'Hg Values'!$A$1:$M$30,3)),0))*E37</f>
        <v>0</v>
      </c>
      <c r="AB37" s="5">
        <f>(IF(AND((O37="Hg"),(K37="Child (0-7 years)")),(VLOOKUP(Q37,'Hg Values'!$A$1:$M$30,13)),0))*E37</f>
        <v>0</v>
      </c>
      <c r="AC37" s="5">
        <f>((IF(AND((O37="CA"),(K37="Adult (&gt; 15 years)")),(VLOOKUP(L37,CA_ingestion!A$1:J$78,7,0)),0))*((Q37/1000000)*R37*70))/14</f>
        <v>0</v>
      </c>
      <c r="AD37" s="5">
        <f t="shared" si="8"/>
        <v>0</v>
      </c>
      <c r="AE37" s="5">
        <f>((IF(AND((O37="CA"),(K37="Adult (&gt; 15 years)")),(AD37*(VLOOKUP(L37,CA_ingestion!A$1:J$78,10,0))),0)))</f>
        <v>0</v>
      </c>
      <c r="AF37" s="5">
        <f t="shared" si="9"/>
        <v>0</v>
      </c>
      <c r="AG37" s="5">
        <f t="shared" si="10"/>
        <v>0</v>
      </c>
    </row>
    <row r="38" spans="4:33">
      <c r="D38" s="29" t="s">
        <v>369</v>
      </c>
      <c r="E38" s="35">
        <f>VLOOKUP(D38,'List Data'!$A$100:$B$104,2,0)</f>
        <v>0</v>
      </c>
      <c r="F38" s="30">
        <v>0</v>
      </c>
      <c r="G38" s="30"/>
      <c r="H38" s="30"/>
      <c r="I38" s="5" t="str">
        <f>Summary!C$23</f>
        <v>Afghanistan</v>
      </c>
      <c r="J38" s="30"/>
      <c r="K38" s="30" t="s">
        <v>213</v>
      </c>
      <c r="L38" s="30" t="s">
        <v>213</v>
      </c>
      <c r="M38" s="37">
        <f>T38*Summary!$H$27</f>
        <v>0</v>
      </c>
      <c r="N38" s="37">
        <f>U38*Summary!$H$25</f>
        <v>0</v>
      </c>
      <c r="O38" s="5">
        <f>VLOOKUP(L38,'List Data'!A$2:C$94,3,0)</f>
        <v>0</v>
      </c>
      <c r="P38" s="5" t="str">
        <f>VLOOKUP(L38,'List Data'!A$2:B$94,2,0)</f>
        <v>--------</v>
      </c>
      <c r="Q38" s="5">
        <f t="shared" si="5"/>
        <v>0</v>
      </c>
      <c r="R38" s="5">
        <f t="shared" si="6"/>
        <v>50</v>
      </c>
      <c r="S38" s="5">
        <f t="shared" si="11"/>
        <v>0</v>
      </c>
      <c r="T38" s="5">
        <f t="shared" si="12"/>
        <v>0</v>
      </c>
      <c r="U38" s="5">
        <f t="shared" si="7"/>
        <v>0</v>
      </c>
      <c r="V38" s="5">
        <f>(IF(AND((O38="OP"),(K38="Child (0-7 years)")),VLOOKUP(($R38*(Q38/1000000)),'OP Values'!$A$1:$Q$35,7),))*E38</f>
        <v>0</v>
      </c>
      <c r="W38" s="5">
        <f>(IF(O38="OP",VLOOKUP(($R38*(F38/1000000)),'OP Values'!$A$1:$Q$35,17),))*E38</f>
        <v>0</v>
      </c>
      <c r="X38" s="5">
        <f>(IF(AND((O38="Pb"),(K38="Child (0-7 years)")),(VLOOKUP(Q38,Pb!$A$2:$AV$103,13)),0))*E38</f>
        <v>0</v>
      </c>
      <c r="Y38" s="5">
        <f>(IF(AND((O38="Pb"),(K38="Child (0-7 years)")),(VLOOKUP(Q38,Pb!$A$2:$AV$103,22)),0))*E38</f>
        <v>0</v>
      </c>
      <c r="Z38" s="5">
        <f>(IF(AND((O38="Pb"),(K38="Adult (&gt; 15 years)")),(VLOOKUP(Q38,Pb!$A$2:$AV$103,48)),0))*E38</f>
        <v>0</v>
      </c>
      <c r="AA38" s="5">
        <f>(IF(AND((O38="Hg"),(K38="Child (0-7 years)")),(VLOOKUP(S38,'Hg Values'!$A$1:$M$30,3)),0))*E38</f>
        <v>0</v>
      </c>
      <c r="AB38" s="5">
        <f>(IF(AND((O38="Hg"),(K38="Child (0-7 years)")),(VLOOKUP(Q38,'Hg Values'!$A$1:$M$30,13)),0))*E38</f>
        <v>0</v>
      </c>
      <c r="AC38" s="5">
        <f>((IF(AND((O38="CA"),(K38="Adult (&gt; 15 years)")),(VLOOKUP(L38,CA_ingestion!A$1:J$78,7,0)),0))*((Q38/1000000)*R38*70))/14</f>
        <v>0</v>
      </c>
      <c r="AD38" s="5">
        <f t="shared" si="8"/>
        <v>0</v>
      </c>
      <c r="AE38" s="5">
        <f>((IF(AND((O38="CA"),(K38="Adult (&gt; 15 years)")),(AD38*(VLOOKUP(L38,CA_ingestion!A$1:J$78,10,0))),0)))</f>
        <v>0</v>
      </c>
      <c r="AF38" s="5">
        <f t="shared" si="9"/>
        <v>0</v>
      </c>
      <c r="AG38" s="5">
        <f t="shared" si="10"/>
        <v>0</v>
      </c>
    </row>
    <row r="39" spans="4:33">
      <c r="D39" s="29" t="s">
        <v>369</v>
      </c>
      <c r="E39" s="35">
        <f>VLOOKUP(D39,'List Data'!$A$100:$B$104,2,0)</f>
        <v>0</v>
      </c>
      <c r="F39" s="30">
        <v>0</v>
      </c>
      <c r="G39" s="30"/>
      <c r="H39" s="30"/>
      <c r="I39" s="5" t="str">
        <f>Summary!C$23</f>
        <v>Afghanistan</v>
      </c>
      <c r="J39" s="30"/>
      <c r="K39" s="30" t="s">
        <v>213</v>
      </c>
      <c r="L39" s="30" t="s">
        <v>213</v>
      </c>
      <c r="M39" s="37">
        <f>T39*Summary!$H$27</f>
        <v>0</v>
      </c>
      <c r="N39" s="37">
        <f>U39*Summary!$H$25</f>
        <v>0</v>
      </c>
      <c r="O39" s="5">
        <f>VLOOKUP(L39,'List Data'!A$2:C$94,3,0)</f>
        <v>0</v>
      </c>
      <c r="P39" s="5" t="str">
        <f>VLOOKUP(L39,'List Data'!A$2:B$94,2,0)</f>
        <v>--------</v>
      </c>
      <c r="Q39" s="5">
        <f t="shared" si="5"/>
        <v>0</v>
      </c>
      <c r="R39" s="5">
        <f t="shared" si="6"/>
        <v>50</v>
      </c>
      <c r="S39" s="5">
        <f t="shared" si="11"/>
        <v>0</v>
      </c>
      <c r="T39" s="5">
        <f t="shared" si="12"/>
        <v>0</v>
      </c>
      <c r="U39" s="5">
        <f t="shared" si="7"/>
        <v>0</v>
      </c>
      <c r="V39" s="5">
        <f>(IF(AND((O39="OP"),(K39="Child (0-7 years)")),VLOOKUP(($R39*(Q39/1000000)),'OP Values'!$A$1:$Q$35,7),))*E39</f>
        <v>0</v>
      </c>
      <c r="W39" s="5">
        <f>(IF(O39="OP",VLOOKUP(($R39*(F39/1000000)),'OP Values'!$A$1:$Q$35,17),))*E39</f>
        <v>0</v>
      </c>
      <c r="X39" s="5">
        <f>(IF(AND((O39="Pb"),(K39="Child (0-7 years)")),(VLOOKUP(Q39,Pb!$A$2:$AV$103,13)),0))*E39</f>
        <v>0</v>
      </c>
      <c r="Y39" s="5">
        <f>(IF(AND((O39="Pb"),(K39="Child (0-7 years)")),(VLOOKUP(Q39,Pb!$A$2:$AV$103,22)),0))*E39</f>
        <v>0</v>
      </c>
      <c r="Z39" s="5">
        <f>(IF(AND((O39="Pb"),(K39="Adult (&gt; 15 years)")),(VLOOKUP(Q39,Pb!$A$2:$AV$103,48)),0))*E39</f>
        <v>0</v>
      </c>
      <c r="AA39" s="5">
        <f>(IF(AND((O39="Hg"),(K39="Child (0-7 years)")),(VLOOKUP(S39,'Hg Values'!$A$1:$M$30,3)),0))*E39</f>
        <v>0</v>
      </c>
      <c r="AB39" s="5">
        <f>(IF(AND((O39="Hg"),(K39="Child (0-7 years)")),(VLOOKUP(Q39,'Hg Values'!$A$1:$M$30,13)),0))*E39</f>
        <v>0</v>
      </c>
      <c r="AC39" s="5">
        <f>((IF(AND((O39="CA"),(K39="Adult (&gt; 15 years)")),(VLOOKUP(L39,CA_ingestion!A$1:J$78,7,0)),0))*((Q39/1000000)*R39*70))/14</f>
        <v>0</v>
      </c>
      <c r="AD39" s="5">
        <f t="shared" si="8"/>
        <v>0</v>
      </c>
      <c r="AE39" s="5">
        <f>((IF(AND((O39="CA"),(K39="Adult (&gt; 15 years)")),(AD39*(VLOOKUP(L39,CA_ingestion!A$1:J$78,10,0))),0)))</f>
        <v>0</v>
      </c>
      <c r="AF39" s="5">
        <f t="shared" si="9"/>
        <v>0</v>
      </c>
      <c r="AG39" s="5">
        <f t="shared" si="10"/>
        <v>0</v>
      </c>
    </row>
    <row r="40" spans="4:33">
      <c r="D40" s="29" t="s">
        <v>369</v>
      </c>
      <c r="E40" s="35">
        <f>VLOOKUP(D40,'List Data'!$A$100:$B$104,2,0)</f>
        <v>0</v>
      </c>
      <c r="F40" s="30">
        <v>0</v>
      </c>
      <c r="G40" s="30"/>
      <c r="H40" s="30"/>
      <c r="I40" s="5" t="str">
        <f>Summary!C$23</f>
        <v>Afghanistan</v>
      </c>
      <c r="J40" s="30"/>
      <c r="K40" s="30" t="s">
        <v>213</v>
      </c>
      <c r="L40" s="30" t="s">
        <v>213</v>
      </c>
      <c r="M40" s="37">
        <f>T40*Summary!$H$27</f>
        <v>0</v>
      </c>
      <c r="N40" s="37">
        <f>U40*Summary!$H$25</f>
        <v>0</v>
      </c>
      <c r="O40" s="5">
        <f>VLOOKUP(L40,'List Data'!A$2:C$94,3,0)</f>
        <v>0</v>
      </c>
      <c r="P40" s="5" t="str">
        <f>VLOOKUP(L40,'List Data'!A$2:B$94,2,0)</f>
        <v>--------</v>
      </c>
      <c r="Q40" s="5">
        <f t="shared" si="5"/>
        <v>0</v>
      </c>
      <c r="R40" s="5">
        <f t="shared" si="6"/>
        <v>50</v>
      </c>
      <c r="S40" s="5">
        <f t="shared" si="11"/>
        <v>0</v>
      </c>
      <c r="T40" s="5">
        <f t="shared" si="12"/>
        <v>0</v>
      </c>
      <c r="U40" s="5">
        <f t="shared" si="7"/>
        <v>0</v>
      </c>
      <c r="V40" s="5">
        <f>(IF(AND((O40="OP"),(K40="Child (0-7 years)")),VLOOKUP(($R40*(Q40/1000000)),'OP Values'!$A$1:$Q$35,7),))*E40</f>
        <v>0</v>
      </c>
      <c r="W40" s="5">
        <f>(IF(O40="OP",VLOOKUP(($R40*(F40/1000000)),'OP Values'!$A$1:$Q$35,17),))*E40</f>
        <v>0</v>
      </c>
      <c r="X40" s="5">
        <f>(IF(AND((O40="Pb"),(K40="Child (0-7 years)")),(VLOOKUP(Q40,Pb!$A$2:$AV$103,13)),0))*E40</f>
        <v>0</v>
      </c>
      <c r="Y40" s="5">
        <f>(IF(AND((O40="Pb"),(K40="Child (0-7 years)")),(VLOOKUP(Q40,Pb!$A$2:$AV$103,22)),0))*E40</f>
        <v>0</v>
      </c>
      <c r="Z40" s="5">
        <f>(IF(AND((O40="Pb"),(K40="Adult (&gt; 15 years)")),(VLOOKUP(Q40,Pb!$A$2:$AV$103,48)),0))*E40</f>
        <v>0</v>
      </c>
      <c r="AA40" s="5">
        <f>(IF(AND((O40="Hg"),(K40="Child (0-7 years)")),(VLOOKUP(S40,'Hg Values'!$A$1:$M$30,3)),0))*E40</f>
        <v>0</v>
      </c>
      <c r="AB40" s="5">
        <f>(IF(AND((O40="Hg"),(K40="Child (0-7 years)")),(VLOOKUP(Q40,'Hg Values'!$A$1:$M$30,13)),0))*E40</f>
        <v>0</v>
      </c>
      <c r="AC40" s="5">
        <f>((IF(AND((O40="CA"),(K40="Adult (&gt; 15 years)")),(VLOOKUP(L40,CA_ingestion!A$1:J$78,7,0)),0))*((Q40/1000000)*R40*70))/14</f>
        <v>0</v>
      </c>
      <c r="AD40" s="5">
        <f t="shared" si="8"/>
        <v>0</v>
      </c>
      <c r="AE40" s="5">
        <f>((IF(AND((O40="CA"),(K40="Adult (&gt; 15 years)")),(AD40*(VLOOKUP(L40,CA_ingestion!A$1:J$78,10,0))),0)))</f>
        <v>0</v>
      </c>
      <c r="AF40" s="5">
        <f t="shared" si="9"/>
        <v>0</v>
      </c>
      <c r="AG40" s="5">
        <f t="shared" si="10"/>
        <v>0</v>
      </c>
    </row>
    <row r="41" spans="4:33">
      <c r="D41" s="29" t="s">
        <v>369</v>
      </c>
      <c r="E41" s="35">
        <f>VLOOKUP(D41,'List Data'!$A$100:$B$104,2,0)</f>
        <v>0</v>
      </c>
      <c r="F41" s="30">
        <v>0</v>
      </c>
      <c r="G41" s="30"/>
      <c r="H41" s="30"/>
      <c r="I41" s="5" t="str">
        <f>Summary!C$23</f>
        <v>Afghanistan</v>
      </c>
      <c r="J41" s="30"/>
      <c r="K41" s="30" t="s">
        <v>213</v>
      </c>
      <c r="L41" s="30" t="s">
        <v>213</v>
      </c>
      <c r="M41" s="37">
        <f>T41*Summary!$H$27</f>
        <v>0</v>
      </c>
      <c r="N41" s="37">
        <f>U41*Summary!$H$25</f>
        <v>0</v>
      </c>
      <c r="O41" s="5">
        <f>VLOOKUP(L41,'List Data'!A$2:C$94,3,0)</f>
        <v>0</v>
      </c>
      <c r="P41" s="5" t="str">
        <f>VLOOKUP(L41,'List Data'!A$2:B$94,2,0)</f>
        <v>--------</v>
      </c>
      <c r="Q41" s="5">
        <f t="shared" si="5"/>
        <v>0</v>
      </c>
      <c r="R41" s="5">
        <f t="shared" si="6"/>
        <v>50</v>
      </c>
      <c r="S41" s="5">
        <f t="shared" si="11"/>
        <v>0</v>
      </c>
      <c r="T41" s="5">
        <f t="shared" si="12"/>
        <v>0</v>
      </c>
      <c r="U41" s="5">
        <f t="shared" si="7"/>
        <v>0</v>
      </c>
      <c r="V41" s="5">
        <f>(IF(AND((O41="OP"),(K41="Child (0-7 years)")),VLOOKUP(($R41*(Q41/1000000)),'OP Values'!$A$1:$Q$35,7),))*E41</f>
        <v>0</v>
      </c>
      <c r="W41" s="5">
        <f>(IF(O41="OP",VLOOKUP(($R41*(F41/1000000)),'OP Values'!$A$1:$Q$35,17),))*E41</f>
        <v>0</v>
      </c>
      <c r="X41" s="5">
        <f>(IF(AND((O41="Pb"),(K41="Child (0-7 years)")),(VLOOKUP(Q41,Pb!$A$2:$AV$103,13)),0))*E41</f>
        <v>0</v>
      </c>
      <c r="Y41" s="5">
        <f>(IF(AND((O41="Pb"),(K41="Child (0-7 years)")),(VLOOKUP(Q41,Pb!$A$2:$AV$103,22)),0))*E41</f>
        <v>0</v>
      </c>
      <c r="Z41" s="5">
        <f>(IF(AND((O41="Pb"),(K41="Adult (&gt; 15 years)")),(VLOOKUP(Q41,Pb!$A$2:$AV$103,48)),0))*E41</f>
        <v>0</v>
      </c>
      <c r="AA41" s="5">
        <f>(IF(AND((O41="Hg"),(K41="Child (0-7 years)")),(VLOOKUP(S41,'Hg Values'!$A$1:$M$30,3)),0))*E41</f>
        <v>0</v>
      </c>
      <c r="AB41" s="5">
        <f>(IF(AND((O41="Hg"),(K41="Child (0-7 years)")),(VLOOKUP(Q41,'Hg Values'!$A$1:$M$30,13)),0))*E41</f>
        <v>0</v>
      </c>
      <c r="AC41" s="5">
        <f>((IF(AND((O41="CA"),(K41="Adult (&gt; 15 years)")),(VLOOKUP(L41,CA_ingestion!A$1:J$78,7,0)),0))*((Q41/1000000)*R41*70))/14</f>
        <v>0</v>
      </c>
      <c r="AD41" s="5">
        <f t="shared" si="8"/>
        <v>0</v>
      </c>
      <c r="AE41" s="5">
        <f>((IF(AND((O41="CA"),(K41="Adult (&gt; 15 years)")),(AD41*(VLOOKUP(L41,CA_ingestion!A$1:J$78,10,0))),0)))</f>
        <v>0</v>
      </c>
      <c r="AF41" s="5">
        <f t="shared" si="9"/>
        <v>0</v>
      </c>
      <c r="AG41" s="5">
        <f t="shared" si="10"/>
        <v>0</v>
      </c>
    </row>
    <row r="42" spans="4:33">
      <c r="D42" s="29" t="s">
        <v>369</v>
      </c>
      <c r="E42" s="35">
        <f>VLOOKUP(D42,'List Data'!$A$100:$B$104,2,0)</f>
        <v>0</v>
      </c>
      <c r="F42" s="30">
        <v>0</v>
      </c>
      <c r="G42" s="30"/>
      <c r="H42" s="30"/>
      <c r="I42" s="5" t="str">
        <f>Summary!C$23</f>
        <v>Afghanistan</v>
      </c>
      <c r="J42" s="30"/>
      <c r="K42" s="30" t="s">
        <v>213</v>
      </c>
      <c r="L42" s="30" t="s">
        <v>213</v>
      </c>
      <c r="M42" s="37">
        <f>T42*Summary!$H$27</f>
        <v>0</v>
      </c>
      <c r="N42" s="37">
        <f>U42*Summary!$H$25</f>
        <v>0</v>
      </c>
      <c r="O42" s="5">
        <f>VLOOKUP(L42,'List Data'!A$2:C$94,3,0)</f>
        <v>0</v>
      </c>
      <c r="P42" s="5" t="str">
        <f>VLOOKUP(L42,'List Data'!A$2:B$94,2,0)</f>
        <v>--------</v>
      </c>
      <c r="Q42" s="5">
        <f t="shared" si="5"/>
        <v>0</v>
      </c>
      <c r="R42" s="5">
        <f t="shared" si="6"/>
        <v>50</v>
      </c>
      <c r="S42" s="5">
        <f t="shared" si="11"/>
        <v>0</v>
      </c>
      <c r="T42" s="5">
        <f t="shared" si="12"/>
        <v>0</v>
      </c>
      <c r="U42" s="5">
        <f t="shared" si="7"/>
        <v>0</v>
      </c>
      <c r="V42" s="5">
        <f>(IF(AND((O42="OP"),(K42="Child (0-7 years)")),VLOOKUP(($R42*(Q42/1000000)),'OP Values'!$A$1:$Q$35,7),))*E42</f>
        <v>0</v>
      </c>
      <c r="W42" s="5">
        <f>(IF(O42="OP",VLOOKUP(($R42*(F42/1000000)),'OP Values'!$A$1:$Q$35,17),))*E42</f>
        <v>0</v>
      </c>
      <c r="X42" s="5">
        <f>(IF(AND((O42="Pb"),(K42="Child (0-7 years)")),(VLOOKUP(Q42,Pb!$A$2:$AV$103,13)),0))*E42</f>
        <v>0</v>
      </c>
      <c r="Y42" s="5">
        <f>(IF(AND((O42="Pb"),(K42="Child (0-7 years)")),(VLOOKUP(Q42,Pb!$A$2:$AV$103,22)),0))*E42</f>
        <v>0</v>
      </c>
      <c r="Z42" s="5">
        <f>(IF(AND((O42="Pb"),(K42="Adult (&gt; 15 years)")),(VLOOKUP(Q42,Pb!$A$2:$AV$103,48)),0))*E42</f>
        <v>0</v>
      </c>
      <c r="AA42" s="5">
        <f>(IF(AND((O42="Hg"),(K42="Child (0-7 years)")),(VLOOKUP(S42,'Hg Values'!$A$1:$M$30,3)),0))*E42</f>
        <v>0</v>
      </c>
      <c r="AB42" s="5">
        <f>(IF(AND((O42="Hg"),(K42="Child (0-7 years)")),(VLOOKUP(Q42,'Hg Values'!$A$1:$M$30,13)),0))*E42</f>
        <v>0</v>
      </c>
      <c r="AC42" s="5">
        <f>((IF(AND((O42="CA"),(K42="Adult (&gt; 15 years)")),(VLOOKUP(L42,CA_ingestion!A$1:J$78,7,0)),0))*((Q42/1000000)*R42*70))/14</f>
        <v>0</v>
      </c>
      <c r="AD42" s="5">
        <f t="shared" si="8"/>
        <v>0</v>
      </c>
      <c r="AE42" s="5">
        <f>((IF(AND((O42="CA"),(K42="Adult (&gt; 15 years)")),(AD42*(VLOOKUP(L42,CA_ingestion!A$1:J$78,10,0))),0)))</f>
        <v>0</v>
      </c>
      <c r="AF42" s="5">
        <f t="shared" si="9"/>
        <v>0</v>
      </c>
      <c r="AG42" s="5">
        <f t="shared" si="10"/>
        <v>0</v>
      </c>
    </row>
    <row r="43" spans="4:33">
      <c r="D43" s="29" t="s">
        <v>369</v>
      </c>
      <c r="E43" s="35">
        <f>VLOOKUP(D43,'List Data'!$A$100:$B$104,2,0)</f>
        <v>0</v>
      </c>
      <c r="F43" s="30">
        <v>0</v>
      </c>
      <c r="G43" s="30"/>
      <c r="H43" s="30"/>
      <c r="I43" s="5" t="str">
        <f>Summary!C$23</f>
        <v>Afghanistan</v>
      </c>
      <c r="J43" s="30"/>
      <c r="K43" s="30" t="s">
        <v>213</v>
      </c>
      <c r="L43" s="30" t="s">
        <v>213</v>
      </c>
      <c r="M43" s="37">
        <f>T43*Summary!$H$27</f>
        <v>0</v>
      </c>
      <c r="N43" s="37">
        <f>U43*Summary!$H$25</f>
        <v>0</v>
      </c>
      <c r="O43" s="5">
        <f>VLOOKUP(L43,'List Data'!A$2:C$94,3,0)</f>
        <v>0</v>
      </c>
      <c r="P43" s="5" t="str">
        <f>VLOOKUP(L43,'List Data'!A$2:B$94,2,0)</f>
        <v>--------</v>
      </c>
      <c r="Q43" s="5">
        <f t="shared" si="5"/>
        <v>0</v>
      </c>
      <c r="R43" s="5">
        <f t="shared" si="6"/>
        <v>50</v>
      </c>
      <c r="S43" s="5">
        <f t="shared" si="11"/>
        <v>0</v>
      </c>
      <c r="T43" s="5">
        <f t="shared" si="12"/>
        <v>0</v>
      </c>
      <c r="U43" s="5">
        <f t="shared" si="7"/>
        <v>0</v>
      </c>
      <c r="V43" s="5">
        <f>(IF(AND((O43="OP"),(K43="Child (0-7 years)")),VLOOKUP(($R43*(Q43/1000000)),'OP Values'!$A$1:$Q$35,7),))*E43</f>
        <v>0</v>
      </c>
      <c r="W43" s="5">
        <f>(IF(O43="OP",VLOOKUP(($R43*(F43/1000000)),'OP Values'!$A$1:$Q$35,17),))*E43</f>
        <v>0</v>
      </c>
      <c r="X43" s="5">
        <f>(IF(AND((O43="Pb"),(K43="Child (0-7 years)")),(VLOOKUP(Q43,Pb!$A$2:$AV$103,13)),0))*E43</f>
        <v>0</v>
      </c>
      <c r="Y43" s="5">
        <f>(IF(AND((O43="Pb"),(K43="Child (0-7 years)")),(VLOOKUP(Q43,Pb!$A$2:$AV$103,22)),0))*E43</f>
        <v>0</v>
      </c>
      <c r="Z43" s="5">
        <f>(IF(AND((O43="Pb"),(K43="Adult (&gt; 15 years)")),(VLOOKUP(Q43,Pb!$A$2:$AV$103,48)),0))*E43</f>
        <v>0</v>
      </c>
      <c r="AA43" s="5">
        <f>(IF(AND((O43="Hg"),(K43="Child (0-7 years)")),(VLOOKUP(S43,'Hg Values'!$A$1:$M$30,3)),0))*E43</f>
        <v>0</v>
      </c>
      <c r="AB43" s="5">
        <f>(IF(AND((O43="Hg"),(K43="Child (0-7 years)")),(VLOOKUP(Q43,'Hg Values'!$A$1:$M$30,13)),0))*E43</f>
        <v>0</v>
      </c>
      <c r="AC43" s="5">
        <f>((IF(AND((O43="CA"),(K43="Adult (&gt; 15 years)")),(VLOOKUP(L43,CA_ingestion!A$1:J$78,7,0)),0))*((Q43/1000000)*R43*70))/14</f>
        <v>0</v>
      </c>
      <c r="AD43" s="5">
        <f t="shared" si="8"/>
        <v>0</v>
      </c>
      <c r="AE43" s="5">
        <f>((IF(AND((O43="CA"),(K43="Adult (&gt; 15 years)")),(AD43*(VLOOKUP(L43,CA_ingestion!A$1:J$78,10,0))),0)))</f>
        <v>0</v>
      </c>
      <c r="AF43" s="5">
        <f t="shared" si="9"/>
        <v>0</v>
      </c>
      <c r="AG43" s="5">
        <f t="shared" si="10"/>
        <v>0</v>
      </c>
    </row>
    <row r="44" spans="4:33">
      <c r="D44" s="29" t="s">
        <v>369</v>
      </c>
      <c r="E44" s="35">
        <f>VLOOKUP(D44,'List Data'!$A$100:$B$104,2,0)</f>
        <v>0</v>
      </c>
      <c r="F44" s="30">
        <v>0</v>
      </c>
      <c r="G44" s="30"/>
      <c r="H44" s="30"/>
      <c r="I44" s="5" t="str">
        <f>Summary!C$23</f>
        <v>Afghanistan</v>
      </c>
      <c r="J44" s="30"/>
      <c r="K44" s="30" t="s">
        <v>213</v>
      </c>
      <c r="L44" s="30" t="s">
        <v>213</v>
      </c>
      <c r="M44" s="37">
        <f>T44*Summary!$H$27</f>
        <v>0</v>
      </c>
      <c r="N44" s="37">
        <f>U44*Summary!$H$25</f>
        <v>0</v>
      </c>
      <c r="O44" s="5">
        <f>VLOOKUP(L44,'List Data'!A$2:C$94,3,0)</f>
        <v>0</v>
      </c>
      <c r="P44" s="5" t="str">
        <f>VLOOKUP(L44,'List Data'!A$2:B$94,2,0)</f>
        <v>--------</v>
      </c>
      <c r="Q44" s="5">
        <f t="shared" si="5"/>
        <v>0</v>
      </c>
      <c r="R44" s="5">
        <f t="shared" si="6"/>
        <v>50</v>
      </c>
      <c r="S44" s="5">
        <f t="shared" si="11"/>
        <v>0</v>
      </c>
      <c r="T44" s="5">
        <f t="shared" si="12"/>
        <v>0</v>
      </c>
      <c r="U44" s="5">
        <f t="shared" si="7"/>
        <v>0</v>
      </c>
      <c r="V44" s="5">
        <f>(IF(AND((O44="OP"),(K44="Child (0-7 years)")),VLOOKUP(($R44*(Q44/1000000)),'OP Values'!$A$1:$Q$35,7),))*E44</f>
        <v>0</v>
      </c>
      <c r="W44" s="5">
        <f>(IF(O44="OP",VLOOKUP(($R44*(F44/1000000)),'OP Values'!$A$1:$Q$35,17),))*E44</f>
        <v>0</v>
      </c>
      <c r="X44" s="5">
        <f>(IF(AND((O44="Pb"),(K44="Child (0-7 years)")),(VLOOKUP(Q44,Pb!$A$2:$AV$103,13)),0))*E44</f>
        <v>0</v>
      </c>
      <c r="Y44" s="5">
        <f>(IF(AND((O44="Pb"),(K44="Child (0-7 years)")),(VLOOKUP(Q44,Pb!$A$2:$AV$103,22)),0))*E44</f>
        <v>0</v>
      </c>
      <c r="Z44" s="5">
        <f>(IF(AND((O44="Pb"),(K44="Adult (&gt; 15 years)")),(VLOOKUP(Q44,Pb!$A$2:$AV$103,48)),0))*E44</f>
        <v>0</v>
      </c>
      <c r="AA44" s="5">
        <f>(IF(AND((O44="Hg"),(K44="Child (0-7 years)")),(VLOOKUP(S44,'Hg Values'!$A$1:$M$30,3)),0))*E44</f>
        <v>0</v>
      </c>
      <c r="AB44" s="5">
        <f>(IF(AND((O44="Hg"),(K44="Child (0-7 years)")),(VLOOKUP(Q44,'Hg Values'!$A$1:$M$30,13)),0))*E44</f>
        <v>0</v>
      </c>
      <c r="AC44" s="5">
        <f>((IF(AND((O44="CA"),(K44="Adult (&gt; 15 years)")),(VLOOKUP(L44,CA_ingestion!A$1:J$78,7,0)),0))*((Q44/1000000)*R44*70))/14</f>
        <v>0</v>
      </c>
      <c r="AD44" s="5">
        <f t="shared" si="8"/>
        <v>0</v>
      </c>
      <c r="AE44" s="5">
        <f>((IF(AND((O44="CA"),(K44="Adult (&gt; 15 years)")),(AD44*(VLOOKUP(L44,CA_ingestion!A$1:J$78,10,0))),0)))</f>
        <v>0</v>
      </c>
      <c r="AF44" s="5">
        <f t="shared" si="9"/>
        <v>0</v>
      </c>
      <c r="AG44" s="5">
        <f t="shared" si="10"/>
        <v>0</v>
      </c>
    </row>
    <row r="45" spans="4:33">
      <c r="D45" s="29" t="s">
        <v>369</v>
      </c>
      <c r="E45" s="35">
        <f>VLOOKUP(D45,'List Data'!$A$100:$B$104,2,0)</f>
        <v>0</v>
      </c>
      <c r="F45" s="30">
        <v>0</v>
      </c>
      <c r="G45" s="30"/>
      <c r="H45" s="30"/>
      <c r="I45" s="5" t="str">
        <f>Summary!C$23</f>
        <v>Afghanistan</v>
      </c>
      <c r="J45" s="30"/>
      <c r="K45" s="30" t="s">
        <v>213</v>
      </c>
      <c r="L45" s="30" t="s">
        <v>213</v>
      </c>
      <c r="M45" s="37">
        <f>T45*Summary!$H$27</f>
        <v>0</v>
      </c>
      <c r="N45" s="37">
        <f>U45*Summary!$H$25</f>
        <v>0</v>
      </c>
      <c r="O45" s="5">
        <f>VLOOKUP(L45,'List Data'!A$2:C$94,3,0)</f>
        <v>0</v>
      </c>
      <c r="P45" s="5" t="str">
        <f>VLOOKUP(L45,'List Data'!A$2:B$94,2,0)</f>
        <v>--------</v>
      </c>
      <c r="Q45" s="5">
        <f t="shared" si="5"/>
        <v>0</v>
      </c>
      <c r="R45" s="5">
        <f t="shared" si="6"/>
        <v>50</v>
      </c>
      <c r="S45" s="5">
        <f t="shared" si="11"/>
        <v>0</v>
      </c>
      <c r="T45" s="5">
        <f t="shared" si="12"/>
        <v>0</v>
      </c>
      <c r="U45" s="5">
        <f t="shared" si="7"/>
        <v>0</v>
      </c>
      <c r="V45" s="5">
        <f>(IF(AND((O45="OP"),(K45="Child (0-7 years)")),VLOOKUP(($R45*(Q45/1000000)),'OP Values'!$A$1:$Q$35,7),))*E45</f>
        <v>0</v>
      </c>
      <c r="W45" s="5">
        <f>(IF(O45="OP",VLOOKUP(($R45*(F45/1000000)),'OP Values'!$A$1:$Q$35,17),))*E45</f>
        <v>0</v>
      </c>
      <c r="X45" s="5">
        <f>(IF(AND((O45="Pb"),(K45="Child (0-7 years)")),(VLOOKUP(Q45,Pb!$A$2:$AV$103,13)),0))*E45</f>
        <v>0</v>
      </c>
      <c r="Y45" s="5">
        <f>(IF(AND((O45="Pb"),(K45="Child (0-7 years)")),(VLOOKUP(Q45,Pb!$A$2:$AV$103,22)),0))*E45</f>
        <v>0</v>
      </c>
      <c r="Z45" s="5">
        <f>(IF(AND((O45="Pb"),(K45="Adult (&gt; 15 years)")),(VLOOKUP(Q45,Pb!$A$2:$AV$103,48)),0))*E45</f>
        <v>0</v>
      </c>
      <c r="AA45" s="5">
        <f>(IF(AND((O45="Hg"),(K45="Child (0-7 years)")),(VLOOKUP(S45,'Hg Values'!$A$1:$M$30,3)),0))*E45</f>
        <v>0</v>
      </c>
      <c r="AB45" s="5">
        <f>(IF(AND((O45="Hg"),(K45="Child (0-7 years)")),(VLOOKUP(Q45,'Hg Values'!$A$1:$M$30,13)),0))*E45</f>
        <v>0</v>
      </c>
      <c r="AC45" s="5">
        <f>((IF(AND((O45="CA"),(K45="Adult (&gt; 15 years)")),(VLOOKUP(L45,CA_ingestion!A$1:J$78,7,0)),0))*((Q45/1000000)*R45*70))/14</f>
        <v>0</v>
      </c>
      <c r="AD45" s="5">
        <f t="shared" si="8"/>
        <v>0</v>
      </c>
      <c r="AE45" s="5">
        <f>((IF(AND((O45="CA"),(K45="Adult (&gt; 15 years)")),(AD45*(VLOOKUP(L45,CA_ingestion!A$1:J$78,10,0))),0)))</f>
        <v>0</v>
      </c>
      <c r="AF45" s="5">
        <f t="shared" si="9"/>
        <v>0</v>
      </c>
      <c r="AG45" s="5">
        <f t="shared" si="10"/>
        <v>0</v>
      </c>
    </row>
    <row r="46" spans="4:33">
      <c r="D46" s="29" t="s">
        <v>369</v>
      </c>
      <c r="E46" s="35">
        <f>VLOOKUP(D46,'List Data'!$A$100:$B$104,2,0)</f>
        <v>0</v>
      </c>
      <c r="F46" s="30">
        <v>0</v>
      </c>
      <c r="G46" s="30"/>
      <c r="H46" s="30"/>
      <c r="I46" s="5" t="str">
        <f>Summary!C$23</f>
        <v>Afghanistan</v>
      </c>
      <c r="J46" s="30"/>
      <c r="K46" s="30" t="s">
        <v>213</v>
      </c>
      <c r="L46" s="30" t="s">
        <v>213</v>
      </c>
      <c r="M46" s="37">
        <f>T46*Summary!$H$27</f>
        <v>0</v>
      </c>
      <c r="N46" s="37">
        <f>U46*Summary!$H$25</f>
        <v>0</v>
      </c>
      <c r="O46" s="5">
        <f>VLOOKUP(L46,'List Data'!A$2:C$94,3,0)</f>
        <v>0</v>
      </c>
      <c r="P46" s="5" t="str">
        <f>VLOOKUP(L46,'List Data'!A$2:B$94,2,0)</f>
        <v>--------</v>
      </c>
      <c r="Q46" s="5">
        <f t="shared" si="5"/>
        <v>0</v>
      </c>
      <c r="R46" s="5">
        <f t="shared" si="6"/>
        <v>50</v>
      </c>
      <c r="S46" s="5">
        <f t="shared" si="11"/>
        <v>0</v>
      </c>
      <c r="T46" s="5">
        <f t="shared" si="12"/>
        <v>0</v>
      </c>
      <c r="U46" s="5">
        <f t="shared" si="7"/>
        <v>0</v>
      </c>
      <c r="V46" s="5">
        <f>(IF(AND((O46="OP"),(K46="Child (0-7 years)")),VLOOKUP(($R46*(Q46/1000000)),'OP Values'!$A$1:$Q$35,7),))*E46</f>
        <v>0</v>
      </c>
      <c r="W46" s="5">
        <f>(IF(O46="OP",VLOOKUP(($R46*(F46/1000000)),'OP Values'!$A$1:$Q$35,17),))*E46</f>
        <v>0</v>
      </c>
      <c r="X46" s="5">
        <f>(IF(AND((O46="Pb"),(K46="Child (0-7 years)")),(VLOOKUP(Q46,Pb!$A$2:$AV$103,13)),0))*E46</f>
        <v>0</v>
      </c>
      <c r="Y46" s="5">
        <f>(IF(AND((O46="Pb"),(K46="Child (0-7 years)")),(VLOOKUP(Q46,Pb!$A$2:$AV$103,22)),0))*E46</f>
        <v>0</v>
      </c>
      <c r="Z46" s="5">
        <f>(IF(AND((O46="Pb"),(K46="Adult (&gt; 15 years)")),(VLOOKUP(Q46,Pb!$A$2:$AV$103,48)),0))*E46</f>
        <v>0</v>
      </c>
      <c r="AA46" s="5">
        <f>(IF(AND((O46="Hg"),(K46="Child (0-7 years)")),(VLOOKUP(S46,'Hg Values'!$A$1:$M$30,3)),0))*E46</f>
        <v>0</v>
      </c>
      <c r="AB46" s="5">
        <f>(IF(AND((O46="Hg"),(K46="Child (0-7 years)")),(VLOOKUP(Q46,'Hg Values'!$A$1:$M$30,13)),0))*E46</f>
        <v>0</v>
      </c>
      <c r="AC46" s="5">
        <f>((IF(AND((O46="CA"),(K46="Adult (&gt; 15 years)")),(VLOOKUP(L46,CA_ingestion!A$1:J$78,7,0)),0))*((Q46/1000000)*R46*70))/14</f>
        <v>0</v>
      </c>
      <c r="AD46" s="5">
        <f t="shared" si="8"/>
        <v>0</v>
      </c>
      <c r="AE46" s="5">
        <f>((IF(AND((O46="CA"),(K46="Adult (&gt; 15 years)")),(AD46*(VLOOKUP(L46,CA_ingestion!A$1:J$78,10,0))),0)))</f>
        <v>0</v>
      </c>
      <c r="AF46" s="5">
        <f t="shared" si="9"/>
        <v>0</v>
      </c>
      <c r="AG46" s="5">
        <f t="shared" si="10"/>
        <v>0</v>
      </c>
    </row>
    <row r="47" spans="4:33">
      <c r="D47" s="29" t="s">
        <v>369</v>
      </c>
      <c r="E47" s="35">
        <f>VLOOKUP(D47,'List Data'!$A$100:$B$104,2,0)</f>
        <v>0</v>
      </c>
      <c r="F47" s="30">
        <v>0</v>
      </c>
      <c r="G47" s="30"/>
      <c r="H47" s="30"/>
      <c r="I47" s="5" t="str">
        <f>Summary!C$23</f>
        <v>Afghanistan</v>
      </c>
      <c r="J47" s="30"/>
      <c r="K47" s="30" t="s">
        <v>213</v>
      </c>
      <c r="L47" s="30" t="s">
        <v>213</v>
      </c>
      <c r="M47" s="37">
        <f>T47*Summary!$H$27</f>
        <v>0</v>
      </c>
      <c r="N47" s="37">
        <f>U47*Summary!$H$25</f>
        <v>0</v>
      </c>
      <c r="O47" s="5">
        <f>VLOOKUP(L47,'List Data'!A$2:C$94,3,0)</f>
        <v>0</v>
      </c>
      <c r="P47" s="5" t="str">
        <f>VLOOKUP(L47,'List Data'!A$2:B$94,2,0)</f>
        <v>--------</v>
      </c>
      <c r="Q47" s="5">
        <f t="shared" si="5"/>
        <v>0</v>
      </c>
      <c r="R47" s="5">
        <f t="shared" si="6"/>
        <v>50</v>
      </c>
      <c r="S47" s="5">
        <f t="shared" si="11"/>
        <v>0</v>
      </c>
      <c r="T47" s="5">
        <f t="shared" si="12"/>
        <v>0</v>
      </c>
      <c r="U47" s="5">
        <f t="shared" si="7"/>
        <v>0</v>
      </c>
      <c r="V47" s="5">
        <f>(IF(AND((O47="OP"),(K47="Child (0-7 years)")),VLOOKUP(($R47*(Q47/1000000)),'OP Values'!$A$1:$Q$35,7),))*E47</f>
        <v>0</v>
      </c>
      <c r="W47" s="5">
        <f>(IF(O47="OP",VLOOKUP(($R47*(F47/1000000)),'OP Values'!$A$1:$Q$35,17),))*E47</f>
        <v>0</v>
      </c>
      <c r="X47" s="5">
        <f>(IF(AND((O47="Pb"),(K47="Child (0-7 years)")),(VLOOKUP(Q47,Pb!$A$2:$AV$103,13)),0))*E47</f>
        <v>0</v>
      </c>
      <c r="Y47" s="5">
        <f>(IF(AND((O47="Pb"),(K47="Child (0-7 years)")),(VLOOKUP(Q47,Pb!$A$2:$AV$103,22)),0))*E47</f>
        <v>0</v>
      </c>
      <c r="Z47" s="5">
        <f>(IF(AND((O47="Pb"),(K47="Adult (&gt; 15 years)")),(VLOOKUP(Q47,Pb!$A$2:$AV$103,48)),0))*E47</f>
        <v>0</v>
      </c>
      <c r="AA47" s="5">
        <f>(IF(AND((O47="Hg"),(K47="Child (0-7 years)")),(VLOOKUP(S47,'Hg Values'!$A$1:$M$30,3)),0))*E47</f>
        <v>0</v>
      </c>
      <c r="AB47" s="5">
        <f>(IF(AND((O47="Hg"),(K47="Child (0-7 years)")),(VLOOKUP(Q47,'Hg Values'!$A$1:$M$30,13)),0))*E47</f>
        <v>0</v>
      </c>
      <c r="AC47" s="5">
        <f>((IF(AND((O47="CA"),(K47="Adult (&gt; 15 years)")),(VLOOKUP(L47,CA_ingestion!A$1:J$78,7,0)),0))*((Q47/1000000)*R47*70))/14</f>
        <v>0</v>
      </c>
      <c r="AD47" s="5">
        <f t="shared" si="8"/>
        <v>0</v>
      </c>
      <c r="AE47" s="5">
        <f>((IF(AND((O47="CA"),(K47="Adult (&gt; 15 years)")),(AD47*(VLOOKUP(L47,CA_ingestion!A$1:J$78,10,0))),0)))</f>
        <v>0</v>
      </c>
      <c r="AF47" s="5">
        <f t="shared" si="9"/>
        <v>0</v>
      </c>
      <c r="AG47" s="5">
        <f t="shared" si="10"/>
        <v>0</v>
      </c>
    </row>
    <row r="48" spans="4:33">
      <c r="D48" s="29" t="s">
        <v>369</v>
      </c>
      <c r="E48" s="35">
        <f>VLOOKUP(D48,'List Data'!$A$100:$B$104,2,0)</f>
        <v>0</v>
      </c>
      <c r="F48" s="30">
        <v>0</v>
      </c>
      <c r="G48" s="30"/>
      <c r="H48" s="30"/>
      <c r="I48" s="5" t="str">
        <f>Summary!C$23</f>
        <v>Afghanistan</v>
      </c>
      <c r="J48" s="30"/>
      <c r="K48" s="30" t="s">
        <v>213</v>
      </c>
      <c r="L48" s="30" t="s">
        <v>213</v>
      </c>
      <c r="M48" s="37">
        <f>T48*Summary!$H$27</f>
        <v>0</v>
      </c>
      <c r="N48" s="37">
        <f>U48*Summary!$H$25</f>
        <v>0</v>
      </c>
      <c r="O48" s="5">
        <f>VLOOKUP(L48,'List Data'!A$2:C$94,3,0)</f>
        <v>0</v>
      </c>
      <c r="P48" s="5" t="str">
        <f>VLOOKUP(L48,'List Data'!A$2:B$94,2,0)</f>
        <v>--------</v>
      </c>
      <c r="Q48" s="5">
        <f t="shared" si="5"/>
        <v>0</v>
      </c>
      <c r="R48" s="5">
        <f t="shared" si="6"/>
        <v>50</v>
      </c>
      <c r="S48" s="5">
        <f t="shared" si="11"/>
        <v>0</v>
      </c>
      <c r="T48" s="5">
        <f t="shared" si="12"/>
        <v>0</v>
      </c>
      <c r="U48" s="5">
        <f t="shared" si="7"/>
        <v>0</v>
      </c>
      <c r="V48" s="5">
        <f>(IF(AND((O48="OP"),(K48="Child (0-7 years)")),VLOOKUP(($R48*(Q48/1000000)),'OP Values'!$A$1:$Q$35,7),))*E48</f>
        <v>0</v>
      </c>
      <c r="W48" s="5">
        <f>(IF(O48="OP",VLOOKUP(($R48*(F48/1000000)),'OP Values'!$A$1:$Q$35,17),))*E48</f>
        <v>0</v>
      </c>
      <c r="X48" s="5">
        <f>(IF(AND((O48="Pb"),(K48="Child (0-7 years)")),(VLOOKUP(Q48,Pb!$A$2:$AV$103,13)),0))*E48</f>
        <v>0</v>
      </c>
      <c r="Y48" s="5">
        <f>(IF(AND((O48="Pb"),(K48="Child (0-7 years)")),(VLOOKUP(Q48,Pb!$A$2:$AV$103,22)),0))*E48</f>
        <v>0</v>
      </c>
      <c r="Z48" s="5">
        <f>(IF(AND((O48="Pb"),(K48="Adult (&gt; 15 years)")),(VLOOKUP(Q48,Pb!$A$2:$AV$103,48)),0))*E48</f>
        <v>0</v>
      </c>
      <c r="AA48" s="5">
        <f>(IF(AND((O48="Hg"),(K48="Child (0-7 years)")),(VLOOKUP(S48,'Hg Values'!$A$1:$M$30,3)),0))*E48</f>
        <v>0</v>
      </c>
      <c r="AB48" s="5">
        <f>(IF(AND((O48="Hg"),(K48="Child (0-7 years)")),(VLOOKUP(Q48,'Hg Values'!$A$1:$M$30,13)),0))*E48</f>
        <v>0</v>
      </c>
      <c r="AC48" s="5">
        <f>((IF(AND((O48="CA"),(K48="Adult (&gt; 15 years)")),(VLOOKUP(L48,CA_ingestion!A$1:J$78,7,0)),0))*((Q48/1000000)*R48*70))/14</f>
        <v>0</v>
      </c>
      <c r="AD48" s="5">
        <f t="shared" si="8"/>
        <v>0</v>
      </c>
      <c r="AE48" s="5">
        <f>((IF(AND((O48="CA"),(K48="Adult (&gt; 15 years)")),(AD48*(VLOOKUP(L48,CA_ingestion!A$1:J$78,10,0))),0)))</f>
        <v>0</v>
      </c>
      <c r="AF48" s="5">
        <f t="shared" si="9"/>
        <v>0</v>
      </c>
      <c r="AG48" s="5">
        <f t="shared" si="10"/>
        <v>0</v>
      </c>
    </row>
    <row r="49" spans="4:33">
      <c r="D49" s="29" t="s">
        <v>369</v>
      </c>
      <c r="E49" s="35">
        <f>VLOOKUP(D49,'List Data'!$A$100:$B$104,2,0)</f>
        <v>0</v>
      </c>
      <c r="F49" s="30">
        <v>0</v>
      </c>
      <c r="G49" s="30"/>
      <c r="H49" s="30"/>
      <c r="I49" s="5" t="str">
        <f>Summary!C$23</f>
        <v>Afghanistan</v>
      </c>
      <c r="J49" s="30"/>
      <c r="K49" s="30" t="s">
        <v>213</v>
      </c>
      <c r="L49" s="30" t="s">
        <v>213</v>
      </c>
      <c r="M49" s="37">
        <f>T49*Summary!$H$27</f>
        <v>0</v>
      </c>
      <c r="N49" s="37">
        <f>U49*Summary!$H$25</f>
        <v>0</v>
      </c>
      <c r="O49" s="5">
        <f>VLOOKUP(L49,'List Data'!A$2:C$94,3,0)</f>
        <v>0</v>
      </c>
      <c r="P49" s="5" t="str">
        <f>VLOOKUP(L49,'List Data'!A$2:B$94,2,0)</f>
        <v>--------</v>
      </c>
      <c r="Q49" s="5">
        <f t="shared" si="5"/>
        <v>0</v>
      </c>
      <c r="R49" s="5">
        <f t="shared" si="6"/>
        <v>50</v>
      </c>
      <c r="S49" s="5">
        <f t="shared" si="11"/>
        <v>0</v>
      </c>
      <c r="T49" s="5">
        <f t="shared" si="12"/>
        <v>0</v>
      </c>
      <c r="U49" s="5">
        <f t="shared" si="7"/>
        <v>0</v>
      </c>
      <c r="V49" s="5">
        <f>(IF(AND((O49="OP"),(K49="Child (0-7 years)")),VLOOKUP(($R49*(Q49/1000000)),'OP Values'!$A$1:$Q$35,7),))*E49</f>
        <v>0</v>
      </c>
      <c r="W49" s="5">
        <f>(IF(O49="OP",VLOOKUP(($R49*(F49/1000000)),'OP Values'!$A$1:$Q$35,17),))*E49</f>
        <v>0</v>
      </c>
      <c r="X49" s="5">
        <f>(IF(AND((O49="Pb"),(K49="Child (0-7 years)")),(VLOOKUP(Q49,Pb!$A$2:$AV$103,13)),0))*E49</f>
        <v>0</v>
      </c>
      <c r="Y49" s="5">
        <f>(IF(AND((O49="Pb"),(K49="Child (0-7 years)")),(VLOOKUP(Q49,Pb!$A$2:$AV$103,22)),0))*E49</f>
        <v>0</v>
      </c>
      <c r="Z49" s="5">
        <f>(IF(AND((O49="Pb"),(K49="Adult (&gt; 15 years)")),(VLOOKUP(Q49,Pb!$A$2:$AV$103,48)),0))*E49</f>
        <v>0</v>
      </c>
      <c r="AA49" s="5">
        <f>(IF(AND((O49="Hg"),(K49="Child (0-7 years)")),(VLOOKUP(S49,'Hg Values'!$A$1:$M$30,3)),0))*E49</f>
        <v>0</v>
      </c>
      <c r="AB49" s="5">
        <f>(IF(AND((O49="Hg"),(K49="Child (0-7 years)")),(VLOOKUP(Q49,'Hg Values'!$A$1:$M$30,13)),0))*E49</f>
        <v>0</v>
      </c>
      <c r="AC49" s="5">
        <f>((IF(AND((O49="CA"),(K49="Adult (&gt; 15 years)")),(VLOOKUP(L49,CA_ingestion!A$1:J$78,7,0)),0))*((Q49/1000000)*R49*70))/14</f>
        <v>0</v>
      </c>
      <c r="AD49" s="5">
        <f t="shared" si="8"/>
        <v>0</v>
      </c>
      <c r="AE49" s="5">
        <f>((IF(AND((O49="CA"),(K49="Adult (&gt; 15 years)")),(AD49*(VLOOKUP(L49,CA_ingestion!A$1:J$78,10,0))),0)))</f>
        <v>0</v>
      </c>
      <c r="AF49" s="5">
        <f t="shared" si="9"/>
        <v>0</v>
      </c>
      <c r="AG49" s="5">
        <f t="shared" si="10"/>
        <v>0</v>
      </c>
    </row>
    <row r="50" spans="4:33">
      <c r="D50" s="29" t="s">
        <v>369</v>
      </c>
      <c r="E50" s="35">
        <f>VLOOKUP(D50,'List Data'!$A$100:$B$104,2,0)</f>
        <v>0</v>
      </c>
      <c r="F50" s="30">
        <v>0</v>
      </c>
      <c r="G50" s="30"/>
      <c r="H50" s="30"/>
      <c r="I50" s="5" t="str">
        <f>Summary!C$23</f>
        <v>Afghanistan</v>
      </c>
      <c r="J50" s="30"/>
      <c r="K50" s="30" t="s">
        <v>213</v>
      </c>
      <c r="L50" s="30" t="s">
        <v>213</v>
      </c>
      <c r="M50" s="37">
        <f>T50*Summary!$H$27</f>
        <v>0</v>
      </c>
      <c r="N50" s="37">
        <f>U50*Summary!$H$25</f>
        <v>0</v>
      </c>
      <c r="O50" s="5">
        <f>VLOOKUP(L50,'List Data'!A$2:C$94,3,0)</f>
        <v>0</v>
      </c>
      <c r="P50" s="5" t="str">
        <f>VLOOKUP(L50,'List Data'!A$2:B$94,2,0)</f>
        <v>--------</v>
      </c>
      <c r="Q50" s="5">
        <f t="shared" si="5"/>
        <v>0</v>
      </c>
      <c r="R50" s="5">
        <f t="shared" si="6"/>
        <v>50</v>
      </c>
      <c r="S50" s="5">
        <f t="shared" si="11"/>
        <v>0</v>
      </c>
      <c r="T50" s="5">
        <f t="shared" si="12"/>
        <v>0</v>
      </c>
      <c r="U50" s="5">
        <f t="shared" si="7"/>
        <v>0</v>
      </c>
      <c r="V50" s="5">
        <f>(IF(AND((O50="OP"),(K50="Child (0-7 years)")),VLOOKUP(($R50*(Q50/1000000)),'OP Values'!$A$1:$Q$35,7),))*E50</f>
        <v>0</v>
      </c>
      <c r="W50" s="5">
        <f>(IF(O50="OP",VLOOKUP(($R50*(F50/1000000)),'OP Values'!$A$1:$Q$35,17),))*E50</f>
        <v>0</v>
      </c>
      <c r="X50" s="5">
        <f>(IF(AND((O50="Pb"),(K50="Child (0-7 years)")),(VLOOKUP(Q50,Pb!$A$2:$AV$103,13)),0))*E50</f>
        <v>0</v>
      </c>
      <c r="Y50" s="5">
        <f>(IF(AND((O50="Pb"),(K50="Child (0-7 years)")),(VLOOKUP(Q50,Pb!$A$2:$AV$103,22)),0))*E50</f>
        <v>0</v>
      </c>
      <c r="Z50" s="5">
        <f>(IF(AND((O50="Pb"),(K50="Adult (&gt; 15 years)")),(VLOOKUP(Q50,Pb!$A$2:$AV$103,48)),0))*E50</f>
        <v>0</v>
      </c>
      <c r="AA50" s="5">
        <f>(IF(AND((O50="Hg"),(K50="Child (0-7 years)")),(VLOOKUP(S50,'Hg Values'!$A$1:$M$30,3)),0))*E50</f>
        <v>0</v>
      </c>
      <c r="AB50" s="5">
        <f>(IF(AND((O50="Hg"),(K50="Child (0-7 years)")),(VLOOKUP(Q50,'Hg Values'!$A$1:$M$30,13)),0))*E50</f>
        <v>0</v>
      </c>
      <c r="AC50" s="5">
        <f>((IF(AND((O50="CA"),(K50="Adult (&gt; 15 years)")),(VLOOKUP(L50,CA_ingestion!A$1:J$78,7,0)),0))*((Q50/1000000)*R50*70))/14</f>
        <v>0</v>
      </c>
      <c r="AD50" s="5">
        <f t="shared" si="8"/>
        <v>0</v>
      </c>
      <c r="AE50" s="5">
        <f>((IF(AND((O50="CA"),(K50="Adult (&gt; 15 years)")),(AD50*(VLOOKUP(L50,CA_ingestion!A$1:J$78,10,0))),0)))</f>
        <v>0</v>
      </c>
      <c r="AF50" s="5">
        <f t="shared" si="9"/>
        <v>0</v>
      </c>
      <c r="AG50" s="5">
        <f t="shared" si="10"/>
        <v>0</v>
      </c>
    </row>
    <row r="51" spans="4:33">
      <c r="D51" s="29" t="s">
        <v>369</v>
      </c>
      <c r="E51" s="35">
        <f>VLOOKUP(D51,'List Data'!$A$100:$B$104,2,0)</f>
        <v>0</v>
      </c>
      <c r="F51" s="30">
        <v>0</v>
      </c>
      <c r="G51" s="30"/>
      <c r="H51" s="30"/>
      <c r="I51" s="5" t="str">
        <f>Summary!C$23</f>
        <v>Afghanistan</v>
      </c>
      <c r="J51" s="30"/>
      <c r="K51" s="30" t="s">
        <v>213</v>
      </c>
      <c r="L51" s="30" t="s">
        <v>213</v>
      </c>
      <c r="M51" s="37">
        <f>T51*Summary!$H$27</f>
        <v>0</v>
      </c>
      <c r="N51" s="37">
        <f>U51*Summary!$H$25</f>
        <v>0</v>
      </c>
      <c r="O51" s="5">
        <f>VLOOKUP(L51,'List Data'!A$2:C$94,3,0)</f>
        <v>0</v>
      </c>
      <c r="P51" s="5" t="str">
        <f>VLOOKUP(L51,'List Data'!A$2:B$94,2,0)</f>
        <v>--------</v>
      </c>
      <c r="Q51" s="5">
        <f t="shared" si="5"/>
        <v>0</v>
      </c>
      <c r="R51" s="5">
        <f t="shared" si="6"/>
        <v>50</v>
      </c>
      <c r="S51" s="5">
        <f t="shared" si="11"/>
        <v>0</v>
      </c>
      <c r="T51" s="5">
        <f t="shared" si="12"/>
        <v>0</v>
      </c>
      <c r="U51" s="5">
        <f t="shared" si="7"/>
        <v>0</v>
      </c>
      <c r="V51" s="5">
        <f>(IF(AND((O51="OP"),(K51="Child (0-7 years)")),VLOOKUP(($R51*(Q51/1000000)),'OP Values'!$A$1:$Q$35,7),))*E51</f>
        <v>0</v>
      </c>
      <c r="W51" s="5">
        <f>(IF(O51="OP",VLOOKUP(($R51*(F51/1000000)),'OP Values'!$A$1:$Q$35,17),))*E51</f>
        <v>0</v>
      </c>
      <c r="X51" s="5">
        <f>(IF(AND((O51="Pb"),(K51="Child (0-7 years)")),(VLOOKUP(Q51,Pb!$A$2:$AV$103,13)),0))*E51</f>
        <v>0</v>
      </c>
      <c r="Y51" s="5">
        <f>(IF(AND((O51="Pb"),(K51="Child (0-7 years)")),(VLOOKUP(Q51,Pb!$A$2:$AV$103,22)),0))*E51</f>
        <v>0</v>
      </c>
      <c r="Z51" s="5">
        <f>(IF(AND((O51="Pb"),(K51="Adult (&gt; 15 years)")),(VLOOKUP(Q51,Pb!$A$2:$AV$103,48)),0))*E51</f>
        <v>0</v>
      </c>
      <c r="AA51" s="5">
        <f>(IF(AND((O51="Hg"),(K51="Child (0-7 years)")),(VLOOKUP(S51,'Hg Values'!$A$1:$M$30,3)),0))*E51</f>
        <v>0</v>
      </c>
      <c r="AB51" s="5">
        <f>(IF(AND((O51="Hg"),(K51="Child (0-7 years)")),(VLOOKUP(Q51,'Hg Values'!$A$1:$M$30,13)),0))*E51</f>
        <v>0</v>
      </c>
      <c r="AC51" s="5">
        <f>((IF(AND((O51="CA"),(K51="Adult (&gt; 15 years)")),(VLOOKUP(L51,CA_ingestion!A$1:J$78,7,0)),0))*((Q51/1000000)*R51*70))/14</f>
        <v>0</v>
      </c>
      <c r="AD51" s="5">
        <f t="shared" si="8"/>
        <v>0</v>
      </c>
      <c r="AE51" s="5">
        <f>((IF(AND((O51="CA"),(K51="Adult (&gt; 15 years)")),(AD51*(VLOOKUP(L51,CA_ingestion!A$1:J$78,10,0))),0)))</f>
        <v>0</v>
      </c>
      <c r="AF51" s="5">
        <f t="shared" si="9"/>
        <v>0</v>
      </c>
      <c r="AG51" s="5">
        <f t="shared" si="10"/>
        <v>0</v>
      </c>
    </row>
    <row r="52" spans="4:33">
      <c r="D52" s="29" t="s">
        <v>369</v>
      </c>
      <c r="E52" s="35">
        <f>VLOOKUP(D52,'List Data'!$A$100:$B$104,2,0)</f>
        <v>0</v>
      </c>
      <c r="F52" s="30">
        <v>0</v>
      </c>
      <c r="G52" s="30"/>
      <c r="H52" s="30"/>
      <c r="I52" s="5" t="str">
        <f>Summary!C$23</f>
        <v>Afghanistan</v>
      </c>
      <c r="J52" s="30"/>
      <c r="K52" s="30" t="s">
        <v>213</v>
      </c>
      <c r="L52" s="30" t="s">
        <v>213</v>
      </c>
      <c r="M52" s="37">
        <f>T52*Summary!$H$27</f>
        <v>0</v>
      </c>
      <c r="N52" s="37">
        <f>U52*Summary!$H$25</f>
        <v>0</v>
      </c>
      <c r="O52" s="5">
        <f>VLOOKUP(L52,'List Data'!A$2:C$94,3,0)</f>
        <v>0</v>
      </c>
      <c r="P52" s="5" t="str">
        <f>VLOOKUP(L52,'List Data'!A$2:B$94,2,0)</f>
        <v>--------</v>
      </c>
      <c r="Q52" s="5">
        <f t="shared" si="5"/>
        <v>0</v>
      </c>
      <c r="R52" s="5">
        <f t="shared" si="6"/>
        <v>50</v>
      </c>
      <c r="S52" s="5">
        <f t="shared" si="11"/>
        <v>0</v>
      </c>
      <c r="T52" s="5">
        <f t="shared" si="12"/>
        <v>0</v>
      </c>
      <c r="U52" s="5">
        <f t="shared" si="7"/>
        <v>0</v>
      </c>
      <c r="V52" s="5">
        <f>(IF(AND((O52="OP"),(K52="Child (0-7 years)")),VLOOKUP(($R52*(Q52/1000000)),'OP Values'!$A$1:$Q$35,7),))*E52</f>
        <v>0</v>
      </c>
      <c r="W52" s="5">
        <f>(IF(O52="OP",VLOOKUP(($R52*(F52/1000000)),'OP Values'!$A$1:$Q$35,17),))*E52</f>
        <v>0</v>
      </c>
      <c r="X52" s="5">
        <f>(IF(AND((O52="Pb"),(K52="Child (0-7 years)")),(VLOOKUP(Q52,Pb!$A$2:$AV$103,13)),0))*E52</f>
        <v>0</v>
      </c>
      <c r="Y52" s="5">
        <f>(IF(AND((O52="Pb"),(K52="Child (0-7 years)")),(VLOOKUP(Q52,Pb!$A$2:$AV$103,22)),0))*E52</f>
        <v>0</v>
      </c>
      <c r="Z52" s="5">
        <f>(IF(AND((O52="Pb"),(K52="Adult (&gt; 15 years)")),(VLOOKUP(Q52,Pb!$A$2:$AV$103,48)),0))*E52</f>
        <v>0</v>
      </c>
      <c r="AA52" s="5">
        <f>(IF(AND((O52="Hg"),(K52="Child (0-7 years)")),(VLOOKUP(S52,'Hg Values'!$A$1:$M$30,3)),0))*E52</f>
        <v>0</v>
      </c>
      <c r="AB52" s="5">
        <f>(IF(AND((O52="Hg"),(K52="Child (0-7 years)")),(VLOOKUP(Q52,'Hg Values'!$A$1:$M$30,13)),0))*E52</f>
        <v>0</v>
      </c>
      <c r="AC52" s="5">
        <f>((IF(AND((O52="CA"),(K52="Adult (&gt; 15 years)")),(VLOOKUP(L52,CA_ingestion!A$1:J$78,7,0)),0))*((Q52/1000000)*R52*70))/14</f>
        <v>0</v>
      </c>
      <c r="AD52" s="5">
        <f t="shared" si="8"/>
        <v>0</v>
      </c>
      <c r="AE52" s="5">
        <f>((IF(AND((O52="CA"),(K52="Adult (&gt; 15 years)")),(AD52*(VLOOKUP(L52,CA_ingestion!A$1:J$78,10,0))),0)))</f>
        <v>0</v>
      </c>
      <c r="AF52" s="5">
        <f t="shared" si="9"/>
        <v>0</v>
      </c>
      <c r="AG52" s="5">
        <f t="shared" si="10"/>
        <v>0</v>
      </c>
    </row>
    <row r="53" spans="4:33">
      <c r="D53" s="29" t="s">
        <v>369</v>
      </c>
      <c r="E53" s="35">
        <f>VLOOKUP(D53,'List Data'!$A$100:$B$104,2,0)</f>
        <v>0</v>
      </c>
      <c r="F53" s="30">
        <v>0</v>
      </c>
      <c r="G53" s="30"/>
      <c r="H53" s="30"/>
      <c r="I53" s="5" t="str">
        <f>Summary!C$23</f>
        <v>Afghanistan</v>
      </c>
      <c r="J53" s="30"/>
      <c r="K53" s="30" t="s">
        <v>213</v>
      </c>
      <c r="L53" s="30" t="s">
        <v>213</v>
      </c>
      <c r="M53" s="37">
        <f>T53*Summary!$H$27</f>
        <v>0</v>
      </c>
      <c r="N53" s="37">
        <f>U53*Summary!$H$25</f>
        <v>0</v>
      </c>
      <c r="O53" s="5">
        <f>VLOOKUP(L53,'List Data'!A$2:C$94,3,0)</f>
        <v>0</v>
      </c>
      <c r="P53" s="5" t="str">
        <f>VLOOKUP(L53,'List Data'!A$2:B$94,2,0)</f>
        <v>--------</v>
      </c>
      <c r="Q53" s="5">
        <f t="shared" si="5"/>
        <v>0</v>
      </c>
      <c r="R53" s="5">
        <f t="shared" si="6"/>
        <v>50</v>
      </c>
      <c r="S53" s="5">
        <f t="shared" si="11"/>
        <v>0</v>
      </c>
      <c r="T53" s="5">
        <f t="shared" si="12"/>
        <v>0</v>
      </c>
      <c r="U53" s="5">
        <f t="shared" si="7"/>
        <v>0</v>
      </c>
      <c r="V53" s="5">
        <f>(IF(AND((O53="OP"),(K53="Child (0-7 years)")),VLOOKUP(($R53*(Q53/1000000)),'OP Values'!$A$1:$Q$35,7),))*E53</f>
        <v>0</v>
      </c>
      <c r="W53" s="5">
        <f>(IF(O53="OP",VLOOKUP(($R53*(F53/1000000)),'OP Values'!$A$1:$Q$35,17),))*E53</f>
        <v>0</v>
      </c>
      <c r="X53" s="5">
        <f>(IF(AND((O53="Pb"),(K53="Child (0-7 years)")),(VLOOKUP(Q53,Pb!$A$2:$AV$103,13)),0))*E53</f>
        <v>0</v>
      </c>
      <c r="Y53" s="5">
        <f>(IF(AND((O53="Pb"),(K53="Child (0-7 years)")),(VLOOKUP(Q53,Pb!$A$2:$AV$103,22)),0))*E53</f>
        <v>0</v>
      </c>
      <c r="Z53" s="5">
        <f>(IF(AND((O53="Pb"),(K53="Adult (&gt; 15 years)")),(VLOOKUP(Q53,Pb!$A$2:$AV$103,48)),0))*E53</f>
        <v>0</v>
      </c>
      <c r="AA53" s="5">
        <f>(IF(AND((O53="Hg"),(K53="Child (0-7 years)")),(VLOOKUP(S53,'Hg Values'!$A$1:$M$30,3)),0))*E53</f>
        <v>0</v>
      </c>
      <c r="AB53" s="5">
        <f>(IF(AND((O53="Hg"),(K53="Child (0-7 years)")),(VLOOKUP(Q53,'Hg Values'!$A$1:$M$30,13)),0))*E53</f>
        <v>0</v>
      </c>
      <c r="AC53" s="5">
        <f>((IF(AND((O53="CA"),(K53="Adult (&gt; 15 years)")),(VLOOKUP(L53,CA_ingestion!A$1:J$78,7,0)),0))*((Q53/1000000)*R53*70))/14</f>
        <v>0</v>
      </c>
      <c r="AD53" s="5">
        <f t="shared" si="8"/>
        <v>0</v>
      </c>
      <c r="AE53" s="5">
        <f>((IF(AND((O53="CA"),(K53="Adult (&gt; 15 years)")),(AD53*(VLOOKUP(L53,CA_ingestion!A$1:J$78,10,0))),0)))</f>
        <v>0</v>
      </c>
      <c r="AF53" s="5">
        <f t="shared" si="9"/>
        <v>0</v>
      </c>
      <c r="AG53" s="5">
        <f t="shared" si="10"/>
        <v>0</v>
      </c>
    </row>
    <row r="54" spans="4:33">
      <c r="D54" s="29" t="s">
        <v>369</v>
      </c>
      <c r="E54" s="35">
        <f>VLOOKUP(D54,'List Data'!$A$100:$B$104,2,0)</f>
        <v>0</v>
      </c>
      <c r="F54" s="30">
        <v>0</v>
      </c>
      <c r="G54" s="30"/>
      <c r="H54" s="30"/>
      <c r="I54" s="5" t="str">
        <f>Summary!C$23</f>
        <v>Afghanistan</v>
      </c>
      <c r="J54" s="30"/>
      <c r="K54" s="30" t="s">
        <v>213</v>
      </c>
      <c r="L54" s="30" t="s">
        <v>213</v>
      </c>
      <c r="M54" s="37">
        <f>T54*Summary!$H$27</f>
        <v>0</v>
      </c>
      <c r="N54" s="37">
        <f>U54*Summary!$H$25</f>
        <v>0</v>
      </c>
      <c r="O54" s="5">
        <f>VLOOKUP(L54,'List Data'!A$2:C$94,3,0)</f>
        <v>0</v>
      </c>
      <c r="P54" s="5" t="str">
        <f>VLOOKUP(L54,'List Data'!A$2:B$94,2,0)</f>
        <v>--------</v>
      </c>
      <c r="Q54" s="5">
        <f t="shared" si="5"/>
        <v>0</v>
      </c>
      <c r="R54" s="5">
        <f t="shared" si="6"/>
        <v>50</v>
      </c>
      <c r="S54" s="5">
        <f t="shared" si="11"/>
        <v>0</v>
      </c>
      <c r="T54" s="5">
        <f t="shared" si="12"/>
        <v>0</v>
      </c>
      <c r="U54" s="5">
        <f t="shared" si="7"/>
        <v>0</v>
      </c>
      <c r="V54" s="5">
        <f>(IF(AND((O54="OP"),(K54="Child (0-7 years)")),VLOOKUP(($R54*(Q54/1000000)),'OP Values'!$A$1:$Q$35,7),))*E54</f>
        <v>0</v>
      </c>
      <c r="W54" s="5">
        <f>(IF(O54="OP",VLOOKUP(($R54*(F54/1000000)),'OP Values'!$A$1:$Q$35,17),))*E54</f>
        <v>0</v>
      </c>
      <c r="X54" s="5">
        <f>(IF(AND((O54="Pb"),(K54="Child (0-7 years)")),(VLOOKUP(Q54,Pb!$A$2:$AV$103,13)),0))*E54</f>
        <v>0</v>
      </c>
      <c r="Y54" s="5">
        <f>(IF(AND((O54="Pb"),(K54="Child (0-7 years)")),(VLOOKUP(Q54,Pb!$A$2:$AV$103,22)),0))*E54</f>
        <v>0</v>
      </c>
      <c r="Z54" s="5">
        <f>(IF(AND((O54="Pb"),(K54="Adult (&gt; 15 years)")),(VLOOKUP(Q54,Pb!$A$2:$AV$103,48)),0))*E54</f>
        <v>0</v>
      </c>
      <c r="AA54" s="5">
        <f>(IF(AND((O54="Hg"),(K54="Child (0-7 years)")),(VLOOKUP(S54,'Hg Values'!$A$1:$M$30,3)),0))*E54</f>
        <v>0</v>
      </c>
      <c r="AB54" s="5">
        <f>(IF(AND((O54="Hg"),(K54="Child (0-7 years)")),(VLOOKUP(Q54,'Hg Values'!$A$1:$M$30,13)),0))*E54</f>
        <v>0</v>
      </c>
      <c r="AC54" s="5">
        <f>((IF(AND((O54="CA"),(K54="Adult (&gt; 15 years)")),(VLOOKUP(L54,CA_ingestion!A$1:J$78,7,0)),0))*((Q54/1000000)*R54*70))/14</f>
        <v>0</v>
      </c>
      <c r="AD54" s="5">
        <f t="shared" si="8"/>
        <v>0</v>
      </c>
      <c r="AE54" s="5">
        <f>((IF(AND((O54="CA"),(K54="Adult (&gt; 15 years)")),(AD54*(VLOOKUP(L54,CA_ingestion!A$1:J$78,10,0))),0)))</f>
        <v>0</v>
      </c>
      <c r="AF54" s="5">
        <f t="shared" si="9"/>
        <v>0</v>
      </c>
      <c r="AG54" s="5">
        <f t="shared" si="10"/>
        <v>0</v>
      </c>
    </row>
    <row r="55" spans="4:33">
      <c r="D55" s="29" t="s">
        <v>369</v>
      </c>
      <c r="E55" s="35">
        <f>VLOOKUP(D55,'List Data'!$A$100:$B$104,2,0)</f>
        <v>0</v>
      </c>
      <c r="F55" s="30">
        <v>0</v>
      </c>
      <c r="G55" s="30"/>
      <c r="H55" s="30"/>
      <c r="I55" s="5" t="str">
        <f>Summary!C$23</f>
        <v>Afghanistan</v>
      </c>
      <c r="J55" s="30"/>
      <c r="K55" s="30" t="s">
        <v>213</v>
      </c>
      <c r="L55" s="30" t="s">
        <v>213</v>
      </c>
      <c r="M55" s="37">
        <f>T55*Summary!$H$27</f>
        <v>0</v>
      </c>
      <c r="N55" s="37">
        <f>U55*Summary!$H$25</f>
        <v>0</v>
      </c>
      <c r="O55" s="5">
        <f>VLOOKUP(L55,'List Data'!A$2:C$94,3,0)</f>
        <v>0</v>
      </c>
      <c r="P55" s="5" t="str">
        <f>VLOOKUP(L55,'List Data'!A$2:B$94,2,0)</f>
        <v>--------</v>
      </c>
      <c r="Q55" s="5">
        <f t="shared" si="5"/>
        <v>0</v>
      </c>
      <c r="R55" s="5">
        <f t="shared" si="6"/>
        <v>50</v>
      </c>
      <c r="S55" s="5">
        <f t="shared" si="11"/>
        <v>0</v>
      </c>
      <c r="T55" s="5">
        <f t="shared" si="12"/>
        <v>0</v>
      </c>
      <c r="U55" s="5">
        <f t="shared" si="7"/>
        <v>0</v>
      </c>
      <c r="V55" s="5">
        <f>(IF(AND((O55="OP"),(K55="Child (0-7 years)")),VLOOKUP(($R55*(Q55/1000000)),'OP Values'!$A$1:$Q$35,7),))*E55</f>
        <v>0</v>
      </c>
      <c r="W55" s="5">
        <f>(IF(O55="OP",VLOOKUP(($R55*(F55/1000000)),'OP Values'!$A$1:$Q$35,17),))*E55</f>
        <v>0</v>
      </c>
      <c r="X55" s="5">
        <f>(IF(AND((O55="Pb"),(K55="Child (0-7 years)")),(VLOOKUP(Q55,Pb!$A$2:$AV$103,13)),0))*E55</f>
        <v>0</v>
      </c>
      <c r="Y55" s="5">
        <f>(IF(AND((O55="Pb"),(K55="Child (0-7 years)")),(VLOOKUP(Q55,Pb!$A$2:$AV$103,22)),0))*E55</f>
        <v>0</v>
      </c>
      <c r="Z55" s="5">
        <f>(IF(AND((O55="Pb"),(K55="Adult (&gt; 15 years)")),(VLOOKUP(Q55,Pb!$A$2:$AV$103,48)),0))*E55</f>
        <v>0</v>
      </c>
      <c r="AA55" s="5">
        <f>(IF(AND((O55="Hg"),(K55="Child (0-7 years)")),(VLOOKUP(S55,'Hg Values'!$A$1:$M$30,3)),0))*E55</f>
        <v>0</v>
      </c>
      <c r="AB55" s="5">
        <f>(IF(AND((O55="Hg"),(K55="Child (0-7 years)")),(VLOOKUP(Q55,'Hg Values'!$A$1:$M$30,13)),0))*E55</f>
        <v>0</v>
      </c>
      <c r="AC55" s="5">
        <f>((IF(AND((O55="CA"),(K55="Adult (&gt; 15 years)")),(VLOOKUP(L55,CA_ingestion!A$1:J$78,7,0)),0))*((Q55/1000000)*R55*70))/14</f>
        <v>0</v>
      </c>
      <c r="AD55" s="5">
        <f t="shared" si="8"/>
        <v>0</v>
      </c>
      <c r="AE55" s="5">
        <f>((IF(AND((O55="CA"),(K55="Adult (&gt; 15 years)")),(AD55*(VLOOKUP(L55,CA_ingestion!A$1:J$78,10,0))),0)))</f>
        <v>0</v>
      </c>
      <c r="AF55" s="5">
        <f t="shared" si="9"/>
        <v>0</v>
      </c>
      <c r="AG55" s="5">
        <f t="shared" si="10"/>
        <v>0</v>
      </c>
    </row>
    <row r="56" spans="4:33">
      <c r="D56" s="29" t="s">
        <v>369</v>
      </c>
      <c r="E56" s="35">
        <f>VLOOKUP(D56,'List Data'!$A$100:$B$104,2,0)</f>
        <v>0</v>
      </c>
      <c r="F56" s="30">
        <v>0</v>
      </c>
      <c r="G56" s="30"/>
      <c r="H56" s="30"/>
      <c r="I56" s="5" t="str">
        <f>Summary!C$23</f>
        <v>Afghanistan</v>
      </c>
      <c r="J56" s="30"/>
      <c r="K56" s="30" t="s">
        <v>213</v>
      </c>
      <c r="L56" s="30" t="s">
        <v>213</v>
      </c>
      <c r="M56" s="37">
        <f>T56*Summary!$H$27</f>
        <v>0</v>
      </c>
      <c r="N56" s="37">
        <f>U56*Summary!$H$25</f>
        <v>0</v>
      </c>
      <c r="O56" s="5">
        <f>VLOOKUP(L56,'List Data'!A$2:C$94,3,0)</f>
        <v>0</v>
      </c>
      <c r="P56" s="5" t="str">
        <f>VLOOKUP(L56,'List Data'!A$2:B$94,2,0)</f>
        <v>--------</v>
      </c>
      <c r="Q56" s="5">
        <f t="shared" si="5"/>
        <v>0</v>
      </c>
      <c r="R56" s="5">
        <f t="shared" si="6"/>
        <v>50</v>
      </c>
      <c r="S56" s="5">
        <f t="shared" si="11"/>
        <v>0</v>
      </c>
      <c r="T56" s="5">
        <f t="shared" si="12"/>
        <v>0</v>
      </c>
      <c r="U56" s="5">
        <f t="shared" si="7"/>
        <v>0</v>
      </c>
      <c r="V56" s="5">
        <f>(IF(AND((O56="OP"),(K56="Child (0-7 years)")),VLOOKUP(($R56*(Q56/1000000)),'OP Values'!$A$1:$Q$35,7),))*E56</f>
        <v>0</v>
      </c>
      <c r="W56" s="5">
        <f>(IF(O56="OP",VLOOKUP(($R56*(F56/1000000)),'OP Values'!$A$1:$Q$35,17),))*E56</f>
        <v>0</v>
      </c>
      <c r="X56" s="5">
        <f>(IF(AND((O56="Pb"),(K56="Child (0-7 years)")),(VLOOKUP(Q56,Pb!$A$2:$AV$103,13)),0))*E56</f>
        <v>0</v>
      </c>
      <c r="Y56" s="5">
        <f>(IF(AND((O56="Pb"),(K56="Child (0-7 years)")),(VLOOKUP(Q56,Pb!$A$2:$AV$103,22)),0))*E56</f>
        <v>0</v>
      </c>
      <c r="Z56" s="5">
        <f>(IF(AND((O56="Pb"),(K56="Adult (&gt; 15 years)")),(VLOOKUP(Q56,Pb!$A$2:$AV$103,48)),0))*E56</f>
        <v>0</v>
      </c>
      <c r="AA56" s="5">
        <f>(IF(AND((O56="Hg"),(K56="Child (0-7 years)")),(VLOOKUP(S56,'Hg Values'!$A$1:$M$30,3)),0))*E56</f>
        <v>0</v>
      </c>
      <c r="AB56" s="5">
        <f>(IF(AND((O56="Hg"),(K56="Child (0-7 years)")),(VLOOKUP(Q56,'Hg Values'!$A$1:$M$30,13)),0))*E56</f>
        <v>0</v>
      </c>
      <c r="AC56" s="5">
        <f>((IF(AND((O56="CA"),(K56="Adult (&gt; 15 years)")),(VLOOKUP(L56,CA_ingestion!A$1:J$78,7,0)),0))*((Q56/1000000)*R56*70))/14</f>
        <v>0</v>
      </c>
      <c r="AD56" s="5">
        <f t="shared" si="8"/>
        <v>0</v>
      </c>
      <c r="AE56" s="5">
        <f>((IF(AND((O56="CA"),(K56="Adult (&gt; 15 years)")),(AD56*(VLOOKUP(L56,CA_ingestion!A$1:J$78,10,0))),0)))</f>
        <v>0</v>
      </c>
      <c r="AF56" s="5">
        <f t="shared" si="9"/>
        <v>0</v>
      </c>
      <c r="AG56" s="5">
        <f t="shared" si="10"/>
        <v>0</v>
      </c>
    </row>
    <row r="57" spans="4:33">
      <c r="D57" s="29" t="s">
        <v>369</v>
      </c>
      <c r="E57" s="35">
        <f>VLOOKUP(D57,'List Data'!$A$100:$B$104,2,0)</f>
        <v>0</v>
      </c>
      <c r="F57" s="30">
        <v>0</v>
      </c>
      <c r="G57" s="30"/>
      <c r="H57" s="30"/>
      <c r="I57" s="5" t="str">
        <f>Summary!C$23</f>
        <v>Afghanistan</v>
      </c>
      <c r="J57" s="30"/>
      <c r="K57" s="30" t="s">
        <v>213</v>
      </c>
      <c r="L57" s="30" t="s">
        <v>213</v>
      </c>
      <c r="M57" s="37">
        <f>T57*Summary!$H$27</f>
        <v>0</v>
      </c>
      <c r="N57" s="37">
        <f>U57*Summary!$H$25</f>
        <v>0</v>
      </c>
      <c r="O57" s="5">
        <f>VLOOKUP(L57,'List Data'!A$2:C$94,3,0)</f>
        <v>0</v>
      </c>
      <c r="P57" s="5" t="str">
        <f>VLOOKUP(L57,'List Data'!A$2:B$94,2,0)</f>
        <v>--------</v>
      </c>
      <c r="Q57" s="5">
        <f t="shared" si="5"/>
        <v>0</v>
      </c>
      <c r="R57" s="5">
        <f t="shared" si="6"/>
        <v>50</v>
      </c>
      <c r="S57" s="5">
        <f t="shared" si="11"/>
        <v>0</v>
      </c>
      <c r="T57" s="5">
        <f t="shared" si="12"/>
        <v>0</v>
      </c>
      <c r="U57" s="5">
        <f t="shared" si="7"/>
        <v>0</v>
      </c>
      <c r="V57" s="5">
        <f>(IF(AND((O57="OP"),(K57="Child (0-7 years)")),VLOOKUP(($R57*(Q57/1000000)),'OP Values'!$A$1:$Q$35,7),))*E57</f>
        <v>0</v>
      </c>
      <c r="W57" s="5">
        <f>(IF(O57="OP",VLOOKUP(($R57*(F57/1000000)),'OP Values'!$A$1:$Q$35,17),))*E57</f>
        <v>0</v>
      </c>
      <c r="X57" s="5">
        <f>(IF(AND((O57="Pb"),(K57="Child (0-7 years)")),(VLOOKUP(Q57,Pb!$A$2:$AV$103,13)),0))*E57</f>
        <v>0</v>
      </c>
      <c r="Y57" s="5">
        <f>(IF(AND((O57="Pb"),(K57="Child (0-7 years)")),(VLOOKUP(Q57,Pb!$A$2:$AV$103,22)),0))*E57</f>
        <v>0</v>
      </c>
      <c r="Z57" s="5">
        <f>(IF(AND((O57="Pb"),(K57="Adult (&gt; 15 years)")),(VLOOKUP(Q57,Pb!$A$2:$AV$103,48)),0))*E57</f>
        <v>0</v>
      </c>
      <c r="AA57" s="5">
        <f>(IF(AND((O57="Hg"),(K57="Child (0-7 years)")),(VLOOKUP(S57,'Hg Values'!$A$1:$M$30,3)),0))*E57</f>
        <v>0</v>
      </c>
      <c r="AB57" s="5">
        <f>(IF(AND((O57="Hg"),(K57="Child (0-7 years)")),(VLOOKUP(Q57,'Hg Values'!$A$1:$M$30,13)),0))*E57</f>
        <v>0</v>
      </c>
      <c r="AC57" s="5">
        <f>((IF(AND((O57="CA"),(K57="Adult (&gt; 15 years)")),(VLOOKUP(L57,CA_ingestion!A$1:J$78,7,0)),0))*((Q57/1000000)*R57*70))/14</f>
        <v>0</v>
      </c>
      <c r="AD57" s="5">
        <f t="shared" si="8"/>
        <v>0</v>
      </c>
      <c r="AE57" s="5">
        <f>((IF(AND((O57="CA"),(K57="Adult (&gt; 15 years)")),(AD57*(VLOOKUP(L57,CA_ingestion!A$1:J$78,10,0))),0)))</f>
        <v>0</v>
      </c>
      <c r="AF57" s="5">
        <f t="shared" si="9"/>
        <v>0</v>
      </c>
      <c r="AG57" s="5">
        <f t="shared" si="10"/>
        <v>0</v>
      </c>
    </row>
    <row r="58" spans="4:33">
      <c r="D58" s="29" t="s">
        <v>369</v>
      </c>
      <c r="E58" s="35">
        <f>VLOOKUP(D58,'List Data'!$A$100:$B$104,2,0)</f>
        <v>0</v>
      </c>
      <c r="F58" s="30">
        <v>0</v>
      </c>
      <c r="G58" s="30"/>
      <c r="H58" s="30"/>
      <c r="I58" s="5" t="str">
        <f>Summary!C$23</f>
        <v>Afghanistan</v>
      </c>
      <c r="J58" s="30"/>
      <c r="K58" s="30" t="s">
        <v>213</v>
      </c>
      <c r="L58" s="30" t="s">
        <v>213</v>
      </c>
      <c r="M58" s="37">
        <f>T58*Summary!$H$27</f>
        <v>0</v>
      </c>
      <c r="N58" s="37">
        <f>U58*Summary!$H$25</f>
        <v>0</v>
      </c>
      <c r="O58" s="5">
        <f>VLOOKUP(L58,'List Data'!A$2:C$94,3,0)</f>
        <v>0</v>
      </c>
      <c r="P58" s="5" t="str">
        <f>VLOOKUP(L58,'List Data'!A$2:B$94,2,0)</f>
        <v>--------</v>
      </c>
      <c r="Q58" s="5">
        <f t="shared" si="5"/>
        <v>0</v>
      </c>
      <c r="R58" s="5">
        <f t="shared" si="6"/>
        <v>50</v>
      </c>
      <c r="S58" s="5">
        <f t="shared" si="11"/>
        <v>0</v>
      </c>
      <c r="T58" s="5">
        <f t="shared" si="12"/>
        <v>0</v>
      </c>
      <c r="U58" s="5">
        <f t="shared" si="7"/>
        <v>0</v>
      </c>
      <c r="V58" s="5">
        <f>(IF(AND((O58="OP"),(K58="Child (0-7 years)")),VLOOKUP(($R58*(Q58/1000000)),'OP Values'!$A$1:$Q$35,7),))*E58</f>
        <v>0</v>
      </c>
      <c r="W58" s="5">
        <f>(IF(O58="OP",VLOOKUP(($R58*(F58/1000000)),'OP Values'!$A$1:$Q$35,17),))*E58</f>
        <v>0</v>
      </c>
      <c r="X58" s="5">
        <f>(IF(AND((O58="Pb"),(K58="Child (0-7 years)")),(VLOOKUP(Q58,Pb!$A$2:$AV$103,13)),0))*E58</f>
        <v>0</v>
      </c>
      <c r="Y58" s="5">
        <f>(IF(AND((O58="Pb"),(K58="Child (0-7 years)")),(VLOOKUP(Q58,Pb!$A$2:$AV$103,22)),0))*E58</f>
        <v>0</v>
      </c>
      <c r="Z58" s="5">
        <f>(IF(AND((O58="Pb"),(K58="Adult (&gt; 15 years)")),(VLOOKUP(Q58,Pb!$A$2:$AV$103,48)),0))*E58</f>
        <v>0</v>
      </c>
      <c r="AA58" s="5">
        <f>(IF(AND((O58="Hg"),(K58="Child (0-7 years)")),(VLOOKUP(S58,'Hg Values'!$A$1:$M$30,3)),0))*E58</f>
        <v>0</v>
      </c>
      <c r="AB58" s="5">
        <f>(IF(AND((O58="Hg"),(K58="Child (0-7 years)")),(VLOOKUP(Q58,'Hg Values'!$A$1:$M$30,13)),0))*E58</f>
        <v>0</v>
      </c>
      <c r="AC58" s="5">
        <f>((IF(AND((O58="CA"),(K58="Adult (&gt; 15 years)")),(VLOOKUP(L58,CA_ingestion!A$1:J$78,7,0)),0))*((Q58/1000000)*R58*70))/14</f>
        <v>0</v>
      </c>
      <c r="AD58" s="5">
        <f t="shared" si="8"/>
        <v>0</v>
      </c>
      <c r="AE58" s="5">
        <f>((IF(AND((O58="CA"),(K58="Adult (&gt; 15 years)")),(AD58*(VLOOKUP(L58,CA_ingestion!A$1:J$78,10,0))),0)))</f>
        <v>0</v>
      </c>
      <c r="AF58" s="5">
        <f t="shared" si="9"/>
        <v>0</v>
      </c>
      <c r="AG58" s="5">
        <f t="shared" si="10"/>
        <v>0</v>
      </c>
    </row>
    <row r="59" spans="4:33">
      <c r="D59" s="29" t="s">
        <v>369</v>
      </c>
      <c r="E59" s="35">
        <f>VLOOKUP(D59,'List Data'!$A$100:$B$104,2,0)</f>
        <v>0</v>
      </c>
      <c r="F59" s="30">
        <v>0</v>
      </c>
      <c r="G59" s="30"/>
      <c r="H59" s="30"/>
      <c r="I59" s="5" t="str">
        <f>Summary!C$23</f>
        <v>Afghanistan</v>
      </c>
      <c r="J59" s="30"/>
      <c r="K59" s="30" t="s">
        <v>213</v>
      </c>
      <c r="L59" s="30" t="s">
        <v>213</v>
      </c>
      <c r="M59" s="37">
        <f>T59*Summary!$H$27</f>
        <v>0</v>
      </c>
      <c r="N59" s="37">
        <f>U59*Summary!$H$25</f>
        <v>0</v>
      </c>
      <c r="O59" s="5">
        <f>VLOOKUP(L59,'List Data'!A$2:C$94,3,0)</f>
        <v>0</v>
      </c>
      <c r="P59" s="5" t="str">
        <f>VLOOKUP(L59,'List Data'!A$2:B$94,2,0)</f>
        <v>--------</v>
      </c>
      <c r="Q59" s="5">
        <f t="shared" si="5"/>
        <v>0</v>
      </c>
      <c r="R59" s="5">
        <f t="shared" si="6"/>
        <v>50</v>
      </c>
      <c r="S59" s="5">
        <f t="shared" si="11"/>
        <v>0</v>
      </c>
      <c r="T59" s="5">
        <f t="shared" si="12"/>
        <v>0</v>
      </c>
      <c r="U59" s="5">
        <f t="shared" si="7"/>
        <v>0</v>
      </c>
      <c r="V59" s="5">
        <f>(IF(AND((O59="OP"),(K59="Child (0-7 years)")),VLOOKUP(($R59*(Q59/1000000)),'OP Values'!$A$1:$Q$35,7),))*E59</f>
        <v>0</v>
      </c>
      <c r="W59" s="5">
        <f>(IF(O59="OP",VLOOKUP(($R59*(F59/1000000)),'OP Values'!$A$1:$Q$35,17),))*E59</f>
        <v>0</v>
      </c>
      <c r="X59" s="5">
        <f>(IF(AND((O59="Pb"),(K59="Child (0-7 years)")),(VLOOKUP(Q59,Pb!$A$2:$AV$103,13)),0))*E59</f>
        <v>0</v>
      </c>
      <c r="Y59" s="5">
        <f>(IF(AND((O59="Pb"),(K59="Child (0-7 years)")),(VLOOKUP(Q59,Pb!$A$2:$AV$103,22)),0))*E59</f>
        <v>0</v>
      </c>
      <c r="Z59" s="5">
        <f>(IF(AND((O59="Pb"),(K59="Adult (&gt; 15 years)")),(VLOOKUP(Q59,Pb!$A$2:$AV$103,48)),0))*E59</f>
        <v>0</v>
      </c>
      <c r="AA59" s="5">
        <f>(IF(AND((O59="Hg"),(K59="Child (0-7 years)")),(VLOOKUP(S59,'Hg Values'!$A$1:$M$30,3)),0))*E59</f>
        <v>0</v>
      </c>
      <c r="AB59" s="5">
        <f>(IF(AND((O59="Hg"),(K59="Child (0-7 years)")),(VLOOKUP(Q59,'Hg Values'!$A$1:$M$30,13)),0))*E59</f>
        <v>0</v>
      </c>
      <c r="AC59" s="5">
        <f>((IF(AND((O59="CA"),(K59="Adult (&gt; 15 years)")),(VLOOKUP(L59,CA_ingestion!A$1:J$78,7,0)),0))*((Q59/1000000)*R59*70))/14</f>
        <v>0</v>
      </c>
      <c r="AD59" s="5">
        <f t="shared" si="8"/>
        <v>0</v>
      </c>
      <c r="AE59" s="5">
        <f>((IF(AND((O59="CA"),(K59="Adult (&gt; 15 years)")),(AD59*(VLOOKUP(L59,CA_ingestion!A$1:J$78,10,0))),0)))</f>
        <v>0</v>
      </c>
      <c r="AF59" s="5">
        <f t="shared" si="9"/>
        <v>0</v>
      </c>
      <c r="AG59" s="5">
        <f t="shared" si="10"/>
        <v>0</v>
      </c>
    </row>
    <row r="60" spans="4:33">
      <c r="D60" s="29" t="s">
        <v>369</v>
      </c>
      <c r="E60" s="35">
        <f>VLOOKUP(D60,'List Data'!$A$100:$B$104,2,0)</f>
        <v>0</v>
      </c>
      <c r="F60" s="30">
        <v>0</v>
      </c>
      <c r="G60" s="30"/>
      <c r="H60" s="30"/>
      <c r="I60" s="5" t="str">
        <f>Summary!C$23</f>
        <v>Afghanistan</v>
      </c>
      <c r="J60" s="30"/>
      <c r="K60" s="30" t="s">
        <v>213</v>
      </c>
      <c r="L60" s="30" t="s">
        <v>213</v>
      </c>
      <c r="M60" s="37">
        <f>T60*Summary!$H$27</f>
        <v>0</v>
      </c>
      <c r="N60" s="37">
        <f>U60*Summary!$H$25</f>
        <v>0</v>
      </c>
      <c r="O60" s="5">
        <f>VLOOKUP(L60,'List Data'!A$2:C$94,3,0)</f>
        <v>0</v>
      </c>
      <c r="P60" s="5" t="str">
        <f>VLOOKUP(L60,'List Data'!A$2:B$94,2,0)</f>
        <v>--------</v>
      </c>
      <c r="Q60" s="5">
        <f t="shared" si="5"/>
        <v>0</v>
      </c>
      <c r="R60" s="5">
        <f t="shared" si="6"/>
        <v>50</v>
      </c>
      <c r="S60" s="5">
        <f t="shared" si="11"/>
        <v>0</v>
      </c>
      <c r="T60" s="5">
        <f t="shared" si="12"/>
        <v>0</v>
      </c>
      <c r="U60" s="5">
        <f t="shared" si="7"/>
        <v>0</v>
      </c>
      <c r="V60" s="5">
        <f>(IF(AND((O60="OP"),(K60="Child (0-7 years)")),VLOOKUP(($R60*(Q60/1000000)),'OP Values'!$A$1:$Q$35,7),))*E60</f>
        <v>0</v>
      </c>
      <c r="W60" s="5">
        <f>(IF(O60="OP",VLOOKUP(($R60*(F60/1000000)),'OP Values'!$A$1:$Q$35,17),))*E60</f>
        <v>0</v>
      </c>
      <c r="X60" s="5">
        <f>(IF(AND((O60="Pb"),(K60="Child (0-7 years)")),(VLOOKUP(Q60,Pb!$A$2:$AV$103,13)),0))*E60</f>
        <v>0</v>
      </c>
      <c r="Y60" s="5">
        <f>(IF(AND((O60="Pb"),(K60="Child (0-7 years)")),(VLOOKUP(Q60,Pb!$A$2:$AV$103,22)),0))*E60</f>
        <v>0</v>
      </c>
      <c r="Z60" s="5">
        <f>(IF(AND((O60="Pb"),(K60="Adult (&gt; 15 years)")),(VLOOKUP(Q60,Pb!$A$2:$AV$103,48)),0))*E60</f>
        <v>0</v>
      </c>
      <c r="AA60" s="5">
        <f>(IF(AND((O60="Hg"),(K60="Child (0-7 years)")),(VLOOKUP(S60,'Hg Values'!$A$1:$M$30,3)),0))*E60</f>
        <v>0</v>
      </c>
      <c r="AB60" s="5">
        <f>(IF(AND((O60="Hg"),(K60="Child (0-7 years)")),(VLOOKUP(Q60,'Hg Values'!$A$1:$M$30,13)),0))*E60</f>
        <v>0</v>
      </c>
      <c r="AC60" s="5">
        <f>((IF(AND((O60="CA"),(K60="Adult (&gt; 15 years)")),(VLOOKUP(L60,CA_ingestion!A$1:J$78,7,0)),0))*((Q60/1000000)*R60*70))/14</f>
        <v>0</v>
      </c>
      <c r="AD60" s="5">
        <f t="shared" si="8"/>
        <v>0</v>
      </c>
      <c r="AE60" s="5">
        <f>((IF(AND((O60="CA"),(K60="Adult (&gt; 15 years)")),(AD60*(VLOOKUP(L60,CA_ingestion!A$1:J$78,10,0))),0)))</f>
        <v>0</v>
      </c>
      <c r="AF60" s="5">
        <f t="shared" si="9"/>
        <v>0</v>
      </c>
      <c r="AG60" s="5">
        <f t="shared" si="10"/>
        <v>0</v>
      </c>
    </row>
    <row r="61" spans="4:33">
      <c r="D61" s="29" t="s">
        <v>369</v>
      </c>
      <c r="E61" s="35">
        <f>VLOOKUP(D61,'List Data'!$A$100:$B$104,2,0)</f>
        <v>0</v>
      </c>
      <c r="F61" s="30">
        <v>0</v>
      </c>
      <c r="G61" s="30"/>
      <c r="H61" s="30"/>
      <c r="I61" s="5" t="str">
        <f>Summary!C$23</f>
        <v>Afghanistan</v>
      </c>
      <c r="J61" s="30"/>
      <c r="K61" s="30" t="s">
        <v>213</v>
      </c>
      <c r="L61" s="30" t="s">
        <v>213</v>
      </c>
      <c r="M61" s="37">
        <f>T61*Summary!$H$27</f>
        <v>0</v>
      </c>
      <c r="N61" s="37">
        <f>U61*Summary!$H$25</f>
        <v>0</v>
      </c>
      <c r="O61" s="5">
        <f>VLOOKUP(L61,'List Data'!A$2:C$94,3,0)</f>
        <v>0</v>
      </c>
      <c r="P61" s="5" t="str">
        <f>VLOOKUP(L61,'List Data'!A$2:B$94,2,0)</f>
        <v>--------</v>
      </c>
      <c r="Q61" s="5">
        <f t="shared" si="5"/>
        <v>0</v>
      </c>
      <c r="R61" s="5">
        <f t="shared" si="6"/>
        <v>50</v>
      </c>
      <c r="S61" s="5">
        <f t="shared" si="11"/>
        <v>0</v>
      </c>
      <c r="T61" s="5">
        <f t="shared" si="12"/>
        <v>0</v>
      </c>
      <c r="U61" s="5">
        <f t="shared" si="7"/>
        <v>0</v>
      </c>
      <c r="V61" s="5">
        <f>(IF(AND((O61="OP"),(K61="Child (0-7 years)")),VLOOKUP(($R61*(Q61/1000000)),'OP Values'!$A$1:$Q$35,7),))*E61</f>
        <v>0</v>
      </c>
      <c r="W61" s="5">
        <f>(IF(O61="OP",VLOOKUP(($R61*(F61/1000000)),'OP Values'!$A$1:$Q$35,17),))*E61</f>
        <v>0</v>
      </c>
      <c r="X61" s="5">
        <f>(IF(AND((O61="Pb"),(K61="Child (0-7 years)")),(VLOOKUP(Q61,Pb!$A$2:$AV$103,13)),0))*E61</f>
        <v>0</v>
      </c>
      <c r="Y61" s="5">
        <f>(IF(AND((O61="Pb"),(K61="Child (0-7 years)")),(VLOOKUP(Q61,Pb!$A$2:$AV$103,22)),0))*E61</f>
        <v>0</v>
      </c>
      <c r="Z61" s="5">
        <f>(IF(AND((O61="Pb"),(K61="Adult (&gt; 15 years)")),(VLOOKUP(Q61,Pb!$A$2:$AV$103,48)),0))*E61</f>
        <v>0</v>
      </c>
      <c r="AA61" s="5">
        <f>(IF(AND((O61="Hg"),(K61="Child (0-7 years)")),(VLOOKUP(S61,'Hg Values'!$A$1:$M$30,3)),0))*E61</f>
        <v>0</v>
      </c>
      <c r="AB61" s="5">
        <f>(IF(AND((O61="Hg"),(K61="Child (0-7 years)")),(VLOOKUP(Q61,'Hg Values'!$A$1:$M$30,13)),0))*E61</f>
        <v>0</v>
      </c>
      <c r="AC61" s="5">
        <f>((IF(AND((O61="CA"),(K61="Adult (&gt; 15 years)")),(VLOOKUP(L61,CA_ingestion!A$1:J$78,7,0)),0))*((Q61/1000000)*R61*70))/14</f>
        <v>0</v>
      </c>
      <c r="AD61" s="5">
        <f t="shared" si="8"/>
        <v>0</v>
      </c>
      <c r="AE61" s="5">
        <f>((IF(AND((O61="CA"),(K61="Adult (&gt; 15 years)")),(AD61*(VLOOKUP(L61,CA_ingestion!A$1:J$78,10,0))),0)))</f>
        <v>0</v>
      </c>
      <c r="AF61" s="5">
        <f t="shared" si="9"/>
        <v>0</v>
      </c>
      <c r="AG61" s="5">
        <f t="shared" si="10"/>
        <v>0</v>
      </c>
    </row>
    <row r="62" spans="4:33">
      <c r="D62" s="29" t="s">
        <v>369</v>
      </c>
      <c r="E62" s="35">
        <f>VLOOKUP(D62,'List Data'!$A$100:$B$104,2,0)</f>
        <v>0</v>
      </c>
      <c r="F62" s="30">
        <v>0</v>
      </c>
      <c r="G62" s="30"/>
      <c r="H62" s="30"/>
      <c r="I62" s="5" t="str">
        <f>Summary!C$23</f>
        <v>Afghanistan</v>
      </c>
      <c r="J62" s="30"/>
      <c r="K62" s="30" t="s">
        <v>213</v>
      </c>
      <c r="L62" s="30" t="s">
        <v>213</v>
      </c>
      <c r="M62" s="37">
        <f>T62*Summary!$H$27</f>
        <v>0</v>
      </c>
      <c r="N62" s="37">
        <f>U62*Summary!$H$25</f>
        <v>0</v>
      </c>
      <c r="O62" s="5">
        <f>VLOOKUP(L62,'List Data'!A$2:C$94,3,0)</f>
        <v>0</v>
      </c>
      <c r="P62" s="5" t="str">
        <f>VLOOKUP(L62,'List Data'!A$2:B$94,2,0)</f>
        <v>--------</v>
      </c>
      <c r="Q62" s="5">
        <f t="shared" si="5"/>
        <v>0</v>
      </c>
      <c r="R62" s="5">
        <f t="shared" si="6"/>
        <v>50</v>
      </c>
      <c r="S62" s="5">
        <f t="shared" si="11"/>
        <v>0</v>
      </c>
      <c r="T62" s="5">
        <f t="shared" si="12"/>
        <v>0</v>
      </c>
      <c r="U62" s="5">
        <f t="shared" si="7"/>
        <v>0</v>
      </c>
      <c r="V62" s="5">
        <f>(IF(AND((O62="OP"),(K62="Child (0-7 years)")),VLOOKUP(($R62*(Q62/1000000)),'OP Values'!$A$1:$Q$35,7),))*E62</f>
        <v>0</v>
      </c>
      <c r="W62" s="5">
        <f>(IF(O62="OP",VLOOKUP(($R62*(F62/1000000)),'OP Values'!$A$1:$Q$35,17),))*E62</f>
        <v>0</v>
      </c>
      <c r="X62" s="5">
        <f>(IF(AND((O62="Pb"),(K62="Child (0-7 years)")),(VLOOKUP(Q62,Pb!$A$2:$AV$103,13)),0))*E62</f>
        <v>0</v>
      </c>
      <c r="Y62" s="5">
        <f>(IF(AND((O62="Pb"),(K62="Child (0-7 years)")),(VLOOKUP(Q62,Pb!$A$2:$AV$103,22)),0))*E62</f>
        <v>0</v>
      </c>
      <c r="Z62" s="5">
        <f>(IF(AND((O62="Pb"),(K62="Adult (&gt; 15 years)")),(VLOOKUP(Q62,Pb!$A$2:$AV$103,48)),0))*E62</f>
        <v>0</v>
      </c>
      <c r="AA62" s="5">
        <f>(IF(AND((O62="Hg"),(K62="Child (0-7 years)")),(VLOOKUP(S62,'Hg Values'!$A$1:$M$30,3)),0))*E62</f>
        <v>0</v>
      </c>
      <c r="AB62" s="5">
        <f>(IF(AND((O62="Hg"),(K62="Child (0-7 years)")),(VLOOKUP(Q62,'Hg Values'!$A$1:$M$30,13)),0))*E62</f>
        <v>0</v>
      </c>
      <c r="AC62" s="5">
        <f>((IF(AND((O62="CA"),(K62="Adult (&gt; 15 years)")),(VLOOKUP(L62,CA_ingestion!A$1:J$78,7,0)),0))*((Q62/1000000)*R62*70))/14</f>
        <v>0</v>
      </c>
      <c r="AD62" s="5">
        <f t="shared" si="8"/>
        <v>0</v>
      </c>
      <c r="AE62" s="5">
        <f>((IF(AND((O62="CA"),(K62="Adult (&gt; 15 years)")),(AD62*(VLOOKUP(L62,CA_ingestion!A$1:J$78,10,0))),0)))</f>
        <v>0</v>
      </c>
      <c r="AF62" s="5">
        <f t="shared" si="9"/>
        <v>0</v>
      </c>
      <c r="AG62" s="5">
        <f t="shared" si="10"/>
        <v>0</v>
      </c>
    </row>
    <row r="63" spans="4:33">
      <c r="D63" s="29" t="s">
        <v>369</v>
      </c>
      <c r="E63" s="35">
        <f>VLOOKUP(D63,'List Data'!$A$100:$B$104,2,0)</f>
        <v>0</v>
      </c>
      <c r="F63" s="30">
        <v>0</v>
      </c>
      <c r="G63" s="30"/>
      <c r="H63" s="30"/>
      <c r="I63" s="5" t="str">
        <f>Summary!C$23</f>
        <v>Afghanistan</v>
      </c>
      <c r="J63" s="30"/>
      <c r="K63" s="30" t="s">
        <v>213</v>
      </c>
      <c r="L63" s="30" t="s">
        <v>213</v>
      </c>
      <c r="M63" s="37">
        <f>T63*Summary!$H$27</f>
        <v>0</v>
      </c>
      <c r="N63" s="37">
        <f>U63*Summary!$H$25</f>
        <v>0</v>
      </c>
      <c r="O63" s="5">
        <f>VLOOKUP(L63,'List Data'!A$2:C$94,3,0)</f>
        <v>0</v>
      </c>
      <c r="P63" s="5" t="str">
        <f>VLOOKUP(L63,'List Data'!A$2:B$94,2,0)</f>
        <v>--------</v>
      </c>
      <c r="Q63" s="5">
        <f t="shared" si="5"/>
        <v>0</v>
      </c>
      <c r="R63" s="5">
        <f t="shared" si="6"/>
        <v>50</v>
      </c>
      <c r="S63" s="5">
        <f t="shared" si="11"/>
        <v>0</v>
      </c>
      <c r="T63" s="5">
        <f t="shared" si="12"/>
        <v>0</v>
      </c>
      <c r="U63" s="5">
        <f t="shared" si="7"/>
        <v>0</v>
      </c>
      <c r="V63" s="5">
        <f>(IF(AND((O63="OP"),(K63="Child (0-7 years)")),VLOOKUP(($R63*(Q63/1000000)),'OP Values'!$A$1:$Q$35,7),))*E63</f>
        <v>0</v>
      </c>
      <c r="W63" s="5">
        <f>(IF(O63="OP",VLOOKUP(($R63*(F63/1000000)),'OP Values'!$A$1:$Q$35,17),))*E63</f>
        <v>0</v>
      </c>
      <c r="X63" s="5">
        <f>(IF(AND((O63="Pb"),(K63="Child (0-7 years)")),(VLOOKUP(Q63,Pb!$A$2:$AV$103,13)),0))*E63</f>
        <v>0</v>
      </c>
      <c r="Y63" s="5">
        <f>(IF(AND((O63="Pb"),(K63="Child (0-7 years)")),(VLOOKUP(Q63,Pb!$A$2:$AV$103,22)),0))*E63</f>
        <v>0</v>
      </c>
      <c r="Z63" s="5">
        <f>(IF(AND((O63="Pb"),(K63="Adult (&gt; 15 years)")),(VLOOKUP(Q63,Pb!$A$2:$AV$103,48)),0))*E63</f>
        <v>0</v>
      </c>
      <c r="AA63" s="5">
        <f>(IF(AND((O63="Hg"),(K63="Child (0-7 years)")),(VLOOKUP(S63,'Hg Values'!$A$1:$M$30,3)),0))*E63</f>
        <v>0</v>
      </c>
      <c r="AB63" s="5">
        <f>(IF(AND((O63="Hg"),(K63="Child (0-7 years)")),(VLOOKUP(Q63,'Hg Values'!$A$1:$M$30,13)),0))*E63</f>
        <v>0</v>
      </c>
      <c r="AC63" s="5">
        <f>((IF(AND((O63="CA"),(K63="Adult (&gt; 15 years)")),(VLOOKUP(L63,CA_ingestion!A$1:J$78,7,0)),0))*((Q63/1000000)*R63*70))/14</f>
        <v>0</v>
      </c>
      <c r="AD63" s="5">
        <f t="shared" si="8"/>
        <v>0</v>
      </c>
      <c r="AE63" s="5">
        <f>((IF(AND((O63="CA"),(K63="Adult (&gt; 15 years)")),(AD63*(VLOOKUP(L63,CA_ingestion!A$1:J$78,10,0))),0)))</f>
        <v>0</v>
      </c>
      <c r="AF63" s="5">
        <f t="shared" si="9"/>
        <v>0</v>
      </c>
      <c r="AG63" s="5">
        <f t="shared" si="10"/>
        <v>0</v>
      </c>
    </row>
    <row r="64" spans="4:33">
      <c r="D64" s="29" t="s">
        <v>369</v>
      </c>
      <c r="E64" s="35">
        <f>VLOOKUP(D64,'List Data'!$A$100:$B$104,2,0)</f>
        <v>0</v>
      </c>
      <c r="F64" s="30">
        <v>0</v>
      </c>
      <c r="G64" s="30"/>
      <c r="H64" s="30"/>
      <c r="I64" s="5" t="str">
        <f>Summary!C$23</f>
        <v>Afghanistan</v>
      </c>
      <c r="J64" s="30"/>
      <c r="K64" s="30" t="s">
        <v>213</v>
      </c>
      <c r="L64" s="30" t="s">
        <v>213</v>
      </c>
      <c r="M64" s="37">
        <f>T64*Summary!$H$27</f>
        <v>0</v>
      </c>
      <c r="N64" s="37">
        <f>U64*Summary!$H$25</f>
        <v>0</v>
      </c>
      <c r="O64" s="5">
        <f>VLOOKUP(L64,'List Data'!A$2:C$94,3,0)</f>
        <v>0</v>
      </c>
      <c r="P64" s="5" t="str">
        <f>VLOOKUP(L64,'List Data'!A$2:B$94,2,0)</f>
        <v>--------</v>
      </c>
      <c r="Q64" s="5">
        <f t="shared" si="5"/>
        <v>0</v>
      </c>
      <c r="R64" s="5">
        <f t="shared" si="6"/>
        <v>50</v>
      </c>
      <c r="S64" s="5">
        <f t="shared" si="11"/>
        <v>0</v>
      </c>
      <c r="T64" s="5">
        <f t="shared" si="12"/>
        <v>0</v>
      </c>
      <c r="U64" s="5">
        <f t="shared" si="7"/>
        <v>0</v>
      </c>
      <c r="V64" s="5">
        <f>(IF(AND((O64="OP"),(K64="Child (0-7 years)")),VLOOKUP(($R64*(Q64/1000000)),'OP Values'!$A$1:$Q$35,7),))*E64</f>
        <v>0</v>
      </c>
      <c r="W64" s="5">
        <f>(IF(O64="OP",VLOOKUP(($R64*(F64/1000000)),'OP Values'!$A$1:$Q$35,17),))*E64</f>
        <v>0</v>
      </c>
      <c r="X64" s="5">
        <f>(IF(AND((O64="Pb"),(K64="Child (0-7 years)")),(VLOOKUP(Q64,Pb!$A$2:$AV$103,13)),0))*E64</f>
        <v>0</v>
      </c>
      <c r="Y64" s="5">
        <f>(IF(AND((O64="Pb"),(K64="Child (0-7 years)")),(VLOOKUP(Q64,Pb!$A$2:$AV$103,22)),0))*E64</f>
        <v>0</v>
      </c>
      <c r="Z64" s="5">
        <f>(IF(AND((O64="Pb"),(K64="Adult (&gt; 15 years)")),(VLOOKUP(Q64,Pb!$A$2:$AV$103,48)),0))*E64</f>
        <v>0</v>
      </c>
      <c r="AA64" s="5">
        <f>(IF(AND((O64="Hg"),(K64="Child (0-7 years)")),(VLOOKUP(S64,'Hg Values'!$A$1:$M$30,3)),0))*E64</f>
        <v>0</v>
      </c>
      <c r="AB64" s="5">
        <f>(IF(AND((O64="Hg"),(K64="Child (0-7 years)")),(VLOOKUP(Q64,'Hg Values'!$A$1:$M$30,13)),0))*E64</f>
        <v>0</v>
      </c>
      <c r="AC64" s="5">
        <f>((IF(AND((O64="CA"),(K64="Adult (&gt; 15 years)")),(VLOOKUP(L64,CA_ingestion!A$1:J$78,7,0)),0))*((Q64/1000000)*R64*70))/14</f>
        <v>0</v>
      </c>
      <c r="AD64" s="5">
        <f t="shared" si="8"/>
        <v>0</v>
      </c>
      <c r="AE64" s="5">
        <f>((IF(AND((O64="CA"),(K64="Adult (&gt; 15 years)")),(AD64*(VLOOKUP(L64,CA_ingestion!A$1:J$78,10,0))),0)))</f>
        <v>0</v>
      </c>
      <c r="AF64" s="5">
        <f t="shared" si="9"/>
        <v>0</v>
      </c>
      <c r="AG64" s="5">
        <f t="shared" si="10"/>
        <v>0</v>
      </c>
    </row>
    <row r="65" spans="4:33">
      <c r="D65" s="29" t="s">
        <v>369</v>
      </c>
      <c r="E65" s="35">
        <f>VLOOKUP(D65,'List Data'!$A$100:$B$104,2,0)</f>
        <v>0</v>
      </c>
      <c r="F65" s="30">
        <v>0</v>
      </c>
      <c r="G65" s="30"/>
      <c r="H65" s="30"/>
      <c r="I65" s="5" t="str">
        <f>Summary!C$23</f>
        <v>Afghanistan</v>
      </c>
      <c r="J65" s="30"/>
      <c r="K65" s="30" t="s">
        <v>213</v>
      </c>
      <c r="L65" s="30" t="s">
        <v>213</v>
      </c>
      <c r="M65" s="37">
        <f>T65*Summary!$H$27</f>
        <v>0</v>
      </c>
      <c r="N65" s="37">
        <f>U65*Summary!$H$25</f>
        <v>0</v>
      </c>
      <c r="O65" s="5">
        <f>VLOOKUP(L65,'List Data'!A$2:C$94,3,0)</f>
        <v>0</v>
      </c>
      <c r="P65" s="5" t="str">
        <f>VLOOKUP(L65,'List Data'!A$2:B$94,2,0)</f>
        <v>--------</v>
      </c>
      <c r="Q65" s="5">
        <f t="shared" si="5"/>
        <v>0</v>
      </c>
      <c r="R65" s="5">
        <f t="shared" si="6"/>
        <v>50</v>
      </c>
      <c r="S65" s="5">
        <f t="shared" si="11"/>
        <v>0</v>
      </c>
      <c r="T65" s="5">
        <f t="shared" si="12"/>
        <v>0</v>
      </c>
      <c r="U65" s="5">
        <f t="shared" si="7"/>
        <v>0</v>
      </c>
      <c r="V65" s="5">
        <f>(IF(AND((O65="OP"),(K65="Child (0-7 years)")),VLOOKUP(($R65*(Q65/1000000)),'OP Values'!$A$1:$Q$35,7),))*E65</f>
        <v>0</v>
      </c>
      <c r="W65" s="5">
        <f>(IF(O65="OP",VLOOKUP(($R65*(F65/1000000)),'OP Values'!$A$1:$Q$35,17),))*E65</f>
        <v>0</v>
      </c>
      <c r="X65" s="5">
        <f>(IF(AND((O65="Pb"),(K65="Child (0-7 years)")),(VLOOKUP(Q65,Pb!$A$2:$AV$103,13)),0))*E65</f>
        <v>0</v>
      </c>
      <c r="Y65" s="5">
        <f>(IF(AND((O65="Pb"),(K65="Child (0-7 years)")),(VLOOKUP(Q65,Pb!$A$2:$AV$103,22)),0))*E65</f>
        <v>0</v>
      </c>
      <c r="Z65" s="5">
        <f>(IF(AND((O65="Pb"),(K65="Adult (&gt; 15 years)")),(VLOOKUP(Q65,Pb!$A$2:$AV$103,48)),0))*E65</f>
        <v>0</v>
      </c>
      <c r="AA65" s="5">
        <f>(IF(AND((O65="Hg"),(K65="Child (0-7 years)")),(VLOOKUP(S65,'Hg Values'!$A$1:$M$30,3)),0))*E65</f>
        <v>0</v>
      </c>
      <c r="AB65" s="5">
        <f>(IF(AND((O65="Hg"),(K65="Child (0-7 years)")),(VLOOKUP(Q65,'Hg Values'!$A$1:$M$30,13)),0))*E65</f>
        <v>0</v>
      </c>
      <c r="AC65" s="5">
        <f>((IF(AND((O65="CA"),(K65="Adult (&gt; 15 years)")),(VLOOKUP(L65,CA_ingestion!A$1:J$78,7,0)),0))*((Q65/1000000)*R65*70))/14</f>
        <v>0</v>
      </c>
      <c r="AD65" s="5">
        <f t="shared" si="8"/>
        <v>0</v>
      </c>
      <c r="AE65" s="5">
        <f>((IF(AND((O65="CA"),(K65="Adult (&gt; 15 years)")),(AD65*(VLOOKUP(L65,CA_ingestion!A$1:J$78,10,0))),0)))</f>
        <v>0</v>
      </c>
      <c r="AF65" s="5">
        <f t="shared" si="9"/>
        <v>0</v>
      </c>
      <c r="AG65" s="5">
        <f t="shared" si="10"/>
        <v>0</v>
      </c>
    </row>
    <row r="66" spans="4:33">
      <c r="D66" s="29" t="s">
        <v>369</v>
      </c>
      <c r="E66" s="35">
        <f>VLOOKUP(D66,'List Data'!$A$100:$B$104,2,0)</f>
        <v>0</v>
      </c>
      <c r="F66" s="30">
        <v>0</v>
      </c>
      <c r="G66" s="30"/>
      <c r="H66" s="30"/>
      <c r="I66" s="5" t="str">
        <f>Summary!C$23</f>
        <v>Afghanistan</v>
      </c>
      <c r="J66" s="30"/>
      <c r="K66" s="30" t="s">
        <v>213</v>
      </c>
      <c r="L66" s="30" t="s">
        <v>213</v>
      </c>
      <c r="M66" s="37">
        <f>T66*Summary!$H$27</f>
        <v>0</v>
      </c>
      <c r="N66" s="37">
        <f>U66*Summary!$H$25</f>
        <v>0</v>
      </c>
      <c r="O66" s="5">
        <f>VLOOKUP(L66,'List Data'!A$2:C$94,3,0)</f>
        <v>0</v>
      </c>
      <c r="P66" s="5" t="str">
        <f>VLOOKUP(L66,'List Data'!A$2:B$94,2,0)</f>
        <v>--------</v>
      </c>
      <c r="Q66" s="5">
        <f t="shared" si="5"/>
        <v>0</v>
      </c>
      <c r="R66" s="5">
        <f t="shared" si="6"/>
        <v>50</v>
      </c>
      <c r="S66" s="5">
        <f t="shared" si="11"/>
        <v>0</v>
      </c>
      <c r="T66" s="5">
        <f t="shared" si="12"/>
        <v>0</v>
      </c>
      <c r="U66" s="5">
        <f t="shared" si="7"/>
        <v>0</v>
      </c>
      <c r="V66" s="5">
        <f>(IF(AND((O66="OP"),(K66="Child (0-7 years)")),VLOOKUP(($R66*(Q66/1000000)),'OP Values'!$A$1:$Q$35,7),))*E66</f>
        <v>0</v>
      </c>
      <c r="W66" s="5">
        <f>(IF(O66="OP",VLOOKUP(($R66*(F66/1000000)),'OP Values'!$A$1:$Q$35,17),))*E66</f>
        <v>0</v>
      </c>
      <c r="X66" s="5">
        <f>(IF(AND((O66="Pb"),(K66="Child (0-7 years)")),(VLOOKUP(Q66,Pb!$A$2:$AV$103,13)),0))*E66</f>
        <v>0</v>
      </c>
      <c r="Y66" s="5">
        <f>(IF(AND((O66="Pb"),(K66="Child (0-7 years)")),(VLOOKUP(Q66,Pb!$A$2:$AV$103,22)),0))*E66</f>
        <v>0</v>
      </c>
      <c r="Z66" s="5">
        <f>(IF(AND((O66="Pb"),(K66="Adult (&gt; 15 years)")),(VLOOKUP(Q66,Pb!$A$2:$AV$103,48)),0))*E66</f>
        <v>0</v>
      </c>
      <c r="AA66" s="5">
        <f>(IF(AND((O66="Hg"),(K66="Child (0-7 years)")),(VLOOKUP(S66,'Hg Values'!$A$1:$M$30,3)),0))*E66</f>
        <v>0</v>
      </c>
      <c r="AB66" s="5">
        <f>(IF(AND((O66="Hg"),(K66="Child (0-7 years)")),(VLOOKUP(Q66,'Hg Values'!$A$1:$M$30,13)),0))*E66</f>
        <v>0</v>
      </c>
      <c r="AC66" s="5">
        <f>((IF(AND((O66="CA"),(K66="Adult (&gt; 15 years)")),(VLOOKUP(L66,CA_ingestion!A$1:J$78,7,0)),0))*((Q66/1000000)*R66*70))/14</f>
        <v>0</v>
      </c>
      <c r="AD66" s="5">
        <f t="shared" si="8"/>
        <v>0</v>
      </c>
      <c r="AE66" s="5">
        <f>((IF(AND((O66="CA"),(K66="Adult (&gt; 15 years)")),(AD66*(VLOOKUP(L66,CA_ingestion!A$1:J$78,10,0))),0)))</f>
        <v>0</v>
      </c>
      <c r="AF66" s="5">
        <f t="shared" si="9"/>
        <v>0</v>
      </c>
      <c r="AG66" s="5">
        <f t="shared" si="10"/>
        <v>0</v>
      </c>
    </row>
    <row r="67" spans="4:33">
      <c r="D67" s="29" t="s">
        <v>369</v>
      </c>
      <c r="E67" s="35">
        <f>VLOOKUP(D67,'List Data'!$A$100:$B$104,2,0)</f>
        <v>0</v>
      </c>
      <c r="F67" s="30">
        <v>0</v>
      </c>
      <c r="G67" s="30"/>
      <c r="H67" s="30"/>
      <c r="I67" s="5" t="str">
        <f>Summary!C$23</f>
        <v>Afghanistan</v>
      </c>
      <c r="J67" s="30"/>
      <c r="K67" s="30" t="s">
        <v>213</v>
      </c>
      <c r="L67" s="30" t="s">
        <v>213</v>
      </c>
      <c r="M67" s="37">
        <f>T67*Summary!$H$27</f>
        <v>0</v>
      </c>
      <c r="N67" s="37">
        <f>U67*Summary!$H$25</f>
        <v>0</v>
      </c>
      <c r="O67" s="5">
        <f>VLOOKUP(L67,'List Data'!A$2:C$94,3,0)</f>
        <v>0</v>
      </c>
      <c r="P67" s="5" t="str">
        <f>VLOOKUP(L67,'List Data'!A$2:B$94,2,0)</f>
        <v>--------</v>
      </c>
      <c r="Q67" s="5">
        <f t="shared" si="5"/>
        <v>0</v>
      </c>
      <c r="R67" s="5">
        <f t="shared" si="6"/>
        <v>50</v>
      </c>
      <c r="S67" s="5">
        <f t="shared" si="11"/>
        <v>0</v>
      </c>
      <c r="T67" s="5">
        <f t="shared" si="12"/>
        <v>0</v>
      </c>
      <c r="U67" s="5">
        <f t="shared" si="7"/>
        <v>0</v>
      </c>
      <c r="V67" s="5">
        <f>(IF(AND((O67="OP"),(K67="Child (0-7 years)")),VLOOKUP(($R67*(Q67/1000000)),'OP Values'!$A$1:$Q$35,7),))*E67</f>
        <v>0</v>
      </c>
      <c r="W67" s="5">
        <f>(IF(O67="OP",VLOOKUP(($R67*(F67/1000000)),'OP Values'!$A$1:$Q$35,17),))*E67</f>
        <v>0</v>
      </c>
      <c r="X67" s="5">
        <f>(IF(AND((O67="Pb"),(K67="Child (0-7 years)")),(VLOOKUP(Q67,Pb!$A$2:$AV$103,13)),0))*E67</f>
        <v>0</v>
      </c>
      <c r="Y67" s="5">
        <f>(IF(AND((O67="Pb"),(K67="Child (0-7 years)")),(VLOOKUP(Q67,Pb!$A$2:$AV$103,22)),0))*E67</f>
        <v>0</v>
      </c>
      <c r="Z67" s="5">
        <f>(IF(AND((O67="Pb"),(K67="Adult (&gt; 15 years)")),(VLOOKUP(Q67,Pb!$A$2:$AV$103,48)),0))*E67</f>
        <v>0</v>
      </c>
      <c r="AA67" s="5">
        <f>(IF(AND((O67="Hg"),(K67="Child (0-7 years)")),(VLOOKUP(S67,'Hg Values'!$A$1:$M$30,3)),0))*E67</f>
        <v>0</v>
      </c>
      <c r="AB67" s="5">
        <f>(IF(AND((O67="Hg"),(K67="Child (0-7 years)")),(VLOOKUP(Q67,'Hg Values'!$A$1:$M$30,13)),0))*E67</f>
        <v>0</v>
      </c>
      <c r="AC67" s="5">
        <f>((IF(AND((O67="CA"),(K67="Adult (&gt; 15 years)")),(VLOOKUP(L67,CA_ingestion!A$1:J$78,7,0)),0))*((Q67/1000000)*R67*70))/14</f>
        <v>0</v>
      </c>
      <c r="AD67" s="5">
        <f t="shared" si="8"/>
        <v>0</v>
      </c>
      <c r="AE67" s="5">
        <f>((IF(AND((O67="CA"),(K67="Adult (&gt; 15 years)")),(AD67*(VLOOKUP(L67,CA_ingestion!A$1:J$78,10,0))),0)))</f>
        <v>0</v>
      </c>
      <c r="AF67" s="5">
        <f t="shared" si="9"/>
        <v>0</v>
      </c>
      <c r="AG67" s="5">
        <f t="shared" si="10"/>
        <v>0</v>
      </c>
    </row>
    <row r="68" spans="4:33">
      <c r="D68" s="29" t="s">
        <v>369</v>
      </c>
      <c r="E68" s="35">
        <f>VLOOKUP(D68,'List Data'!$A$100:$B$104,2,0)</f>
        <v>0</v>
      </c>
      <c r="F68" s="30">
        <v>0</v>
      </c>
      <c r="G68" s="30"/>
      <c r="H68" s="30"/>
      <c r="I68" s="5" t="str">
        <f>Summary!C$23</f>
        <v>Afghanistan</v>
      </c>
      <c r="J68" s="30"/>
      <c r="K68" s="30" t="s">
        <v>213</v>
      </c>
      <c r="L68" s="30" t="s">
        <v>213</v>
      </c>
      <c r="M68" s="37">
        <f>T68*Summary!$H$27</f>
        <v>0</v>
      </c>
      <c r="N68" s="37">
        <f>U68*Summary!$H$25</f>
        <v>0</v>
      </c>
      <c r="O68" s="5">
        <f>VLOOKUP(L68,'List Data'!A$2:C$94,3,0)</f>
        <v>0</v>
      </c>
      <c r="P68" s="5" t="str">
        <f>VLOOKUP(L68,'List Data'!A$2:B$94,2,0)</f>
        <v>--------</v>
      </c>
      <c r="Q68" s="5">
        <f t="shared" si="5"/>
        <v>0</v>
      </c>
      <c r="R68" s="5">
        <f t="shared" si="6"/>
        <v>50</v>
      </c>
      <c r="S68" s="5">
        <f t="shared" si="11"/>
        <v>0</v>
      </c>
      <c r="T68" s="5">
        <f t="shared" si="12"/>
        <v>0</v>
      </c>
      <c r="U68" s="5">
        <f t="shared" si="7"/>
        <v>0</v>
      </c>
      <c r="V68" s="5">
        <f>(IF(AND((O68="OP"),(K68="Child (0-7 years)")),VLOOKUP(($R68*(Q68/1000000)),'OP Values'!$A$1:$Q$35,7),))*E68</f>
        <v>0</v>
      </c>
      <c r="W68" s="5">
        <f>(IF(O68="OP",VLOOKUP(($R68*(F68/1000000)),'OP Values'!$A$1:$Q$35,17),))*E68</f>
        <v>0</v>
      </c>
      <c r="X68" s="5">
        <f>(IF(AND((O68="Pb"),(K68="Child (0-7 years)")),(VLOOKUP(Q68,Pb!$A$2:$AV$103,13)),0))*E68</f>
        <v>0</v>
      </c>
      <c r="Y68" s="5">
        <f>(IF(AND((O68="Pb"),(K68="Child (0-7 years)")),(VLOOKUP(Q68,Pb!$A$2:$AV$103,22)),0))*E68</f>
        <v>0</v>
      </c>
      <c r="Z68" s="5">
        <f>(IF(AND((O68="Pb"),(K68="Adult (&gt; 15 years)")),(VLOOKUP(Q68,Pb!$A$2:$AV$103,48)),0))*E68</f>
        <v>0</v>
      </c>
      <c r="AA68" s="5">
        <f>(IF(AND((O68="Hg"),(K68="Child (0-7 years)")),(VLOOKUP(S68,'Hg Values'!$A$1:$M$30,3)),0))*E68</f>
        <v>0</v>
      </c>
      <c r="AB68" s="5">
        <f>(IF(AND((O68="Hg"),(K68="Child (0-7 years)")),(VLOOKUP(Q68,'Hg Values'!$A$1:$M$30,13)),0))*E68</f>
        <v>0</v>
      </c>
      <c r="AC68" s="5">
        <f>((IF(AND((O68="CA"),(K68="Adult (&gt; 15 years)")),(VLOOKUP(L68,CA_ingestion!A$1:J$78,7,0)),0))*((Q68/1000000)*R68*70))/14</f>
        <v>0</v>
      </c>
      <c r="AD68" s="5">
        <f t="shared" si="8"/>
        <v>0</v>
      </c>
      <c r="AE68" s="5">
        <f>((IF(AND((O68="CA"),(K68="Adult (&gt; 15 years)")),(AD68*(VLOOKUP(L68,CA_ingestion!A$1:J$78,10,0))),0)))</f>
        <v>0</v>
      </c>
      <c r="AF68" s="5">
        <f t="shared" si="9"/>
        <v>0</v>
      </c>
      <c r="AG68" s="5">
        <f t="shared" si="10"/>
        <v>0</v>
      </c>
    </row>
    <row r="69" spans="4:33">
      <c r="D69" s="29" t="s">
        <v>369</v>
      </c>
      <c r="E69" s="35">
        <f>VLOOKUP(D69,'List Data'!$A$100:$B$104,2,0)</f>
        <v>0</v>
      </c>
      <c r="F69" s="30">
        <v>0</v>
      </c>
      <c r="G69" s="30"/>
      <c r="H69" s="30"/>
      <c r="I69" s="5" t="str">
        <f>Summary!C$23</f>
        <v>Afghanistan</v>
      </c>
      <c r="J69" s="30"/>
      <c r="K69" s="30" t="s">
        <v>213</v>
      </c>
      <c r="L69" s="30" t="s">
        <v>213</v>
      </c>
      <c r="M69" s="37">
        <f>T69*Summary!$H$27</f>
        <v>0</v>
      </c>
      <c r="N69" s="37">
        <f>U69*Summary!$H$25</f>
        <v>0</v>
      </c>
      <c r="O69" s="5">
        <f>VLOOKUP(L69,'List Data'!A$2:C$94,3,0)</f>
        <v>0</v>
      </c>
      <c r="P69" s="5" t="str">
        <f>VLOOKUP(L69,'List Data'!A$2:B$94,2,0)</f>
        <v>--------</v>
      </c>
      <c r="Q69" s="5">
        <f t="shared" si="5"/>
        <v>0</v>
      </c>
      <c r="R69" s="5">
        <f t="shared" si="6"/>
        <v>50</v>
      </c>
      <c r="S69" s="5">
        <f t="shared" si="11"/>
        <v>0</v>
      </c>
      <c r="T69" s="5">
        <f t="shared" si="12"/>
        <v>0</v>
      </c>
      <c r="U69" s="5">
        <f t="shared" si="7"/>
        <v>0</v>
      </c>
      <c r="V69" s="5">
        <f>(IF(AND((O69="OP"),(K69="Child (0-7 years)")),VLOOKUP(($R69*(Q69/1000000)),'OP Values'!$A$1:$Q$35,7),))*E69</f>
        <v>0</v>
      </c>
      <c r="W69" s="5">
        <f>(IF(O69="OP",VLOOKUP(($R69*(F69/1000000)),'OP Values'!$A$1:$Q$35,17),))*E69</f>
        <v>0</v>
      </c>
      <c r="X69" s="5">
        <f>(IF(AND((O69="Pb"),(K69="Child (0-7 years)")),(VLOOKUP(Q69,Pb!$A$2:$AV$103,13)),0))*E69</f>
        <v>0</v>
      </c>
      <c r="Y69" s="5">
        <f>(IF(AND((O69="Pb"),(K69="Child (0-7 years)")),(VLOOKUP(Q69,Pb!$A$2:$AV$103,22)),0))*E69</f>
        <v>0</v>
      </c>
      <c r="Z69" s="5">
        <f>(IF(AND((O69="Pb"),(K69="Adult (&gt; 15 years)")),(VLOOKUP(Q69,Pb!$A$2:$AV$103,48)),0))*E69</f>
        <v>0</v>
      </c>
      <c r="AA69" s="5">
        <f>(IF(AND((O69="Hg"),(K69="Child (0-7 years)")),(VLOOKUP(S69,'Hg Values'!$A$1:$M$30,3)),0))*E69</f>
        <v>0</v>
      </c>
      <c r="AB69" s="5">
        <f>(IF(AND((O69="Hg"),(K69="Child (0-7 years)")),(VLOOKUP(Q69,'Hg Values'!$A$1:$M$30,13)),0))*E69</f>
        <v>0</v>
      </c>
      <c r="AC69" s="5">
        <f>((IF(AND((O69="CA"),(K69="Adult (&gt; 15 years)")),(VLOOKUP(L69,CA_ingestion!A$1:J$78,7,0)),0))*((Q69/1000000)*R69*70))/14</f>
        <v>0</v>
      </c>
      <c r="AD69" s="5">
        <f t="shared" si="8"/>
        <v>0</v>
      </c>
      <c r="AE69" s="5">
        <f>((IF(AND((O69="CA"),(K69="Adult (&gt; 15 years)")),(AD69*(VLOOKUP(L69,CA_ingestion!A$1:J$78,10,0))),0)))</f>
        <v>0</v>
      </c>
      <c r="AF69" s="5">
        <f t="shared" si="9"/>
        <v>0</v>
      </c>
      <c r="AG69" s="5">
        <f t="shared" si="10"/>
        <v>0</v>
      </c>
    </row>
    <row r="70" spans="4:33">
      <c r="D70" s="29" t="s">
        <v>369</v>
      </c>
      <c r="E70" s="35">
        <f>VLOOKUP(D70,'List Data'!$A$100:$B$104,2,0)</f>
        <v>0</v>
      </c>
      <c r="F70" s="30">
        <v>0</v>
      </c>
      <c r="G70" s="30"/>
      <c r="H70" s="30"/>
      <c r="I70" s="5" t="str">
        <f>Summary!C$23</f>
        <v>Afghanistan</v>
      </c>
      <c r="J70" s="30"/>
      <c r="K70" s="30" t="s">
        <v>213</v>
      </c>
      <c r="L70" s="30" t="s">
        <v>213</v>
      </c>
      <c r="M70" s="37">
        <f>T70*Summary!$H$27</f>
        <v>0</v>
      </c>
      <c r="N70" s="37">
        <f>U70*Summary!$H$25</f>
        <v>0</v>
      </c>
      <c r="O70" s="5">
        <f>VLOOKUP(L70,'List Data'!A$2:C$94,3,0)</f>
        <v>0</v>
      </c>
      <c r="P70" s="5" t="str">
        <f>VLOOKUP(L70,'List Data'!A$2:B$94,2,0)</f>
        <v>--------</v>
      </c>
      <c r="Q70" s="5">
        <f t="shared" ref="Q70:Q105" si="13">IF(F70&lt;8,0,(F70/0.7-(10.7)))</f>
        <v>0</v>
      </c>
      <c r="R70" s="5">
        <f t="shared" ref="R70:R105" si="14">IF(K70="Child (0-7 years)", 135,50)</f>
        <v>50</v>
      </c>
      <c r="S70" s="5">
        <f t="shared" ref="S70:S105" si="15">(F70/1000000)*R70</f>
        <v>0</v>
      </c>
      <c r="T70" s="5">
        <f t="shared" ref="T70:T105" si="16">V70+X70+AA70</f>
        <v>0</v>
      </c>
      <c r="U70" s="5">
        <f t="shared" ref="U70:U105" si="17">W70+Y70+Z70+AB70+AG70</f>
        <v>0</v>
      </c>
      <c r="V70" s="5">
        <f>(IF(AND((O70="OP"),(K70="Child (0-7 years)")),VLOOKUP(($R70*(Q70/1000000)),'OP Values'!$A$1:$Q$35,7),))*E70</f>
        <v>0</v>
      </c>
      <c r="W70" s="5">
        <f>(IF(O70="OP",VLOOKUP(($R70*(F70/1000000)),'OP Values'!$A$1:$Q$35,17),))*E70</f>
        <v>0</v>
      </c>
      <c r="X70" s="5">
        <f>(IF(AND((O70="Pb"),(K70="Child (0-7 years)")),(VLOOKUP(Q70,Pb!$A$2:$AV$103,13)),0))*E70</f>
        <v>0</v>
      </c>
      <c r="Y70" s="5">
        <f>(IF(AND((O70="Pb"),(K70="Child (0-7 years)")),(VLOOKUP(Q70,Pb!$A$2:$AV$103,22)),0))*E70</f>
        <v>0</v>
      </c>
      <c r="Z70" s="5">
        <f>(IF(AND((O70="Pb"),(K70="Adult (&gt; 15 years)")),(VLOOKUP(Q70,Pb!$A$2:$AV$103,48)),0))*E70</f>
        <v>0</v>
      </c>
      <c r="AA70" s="5">
        <f>(IF(AND((O70="Hg"),(K70="Child (0-7 years)")),(VLOOKUP(S70,'Hg Values'!$A$1:$M$30,3)),0))*E70</f>
        <v>0</v>
      </c>
      <c r="AB70" s="5">
        <f>(IF(AND((O70="Hg"),(K70="Child (0-7 years)")),(VLOOKUP(Q70,'Hg Values'!$A$1:$M$30,13)),0))*E70</f>
        <v>0</v>
      </c>
      <c r="AC70" s="5">
        <f>((IF(AND((O70="CA"),(K70="Adult (&gt; 15 years)")),(VLOOKUP(L70,CA_ingestion!A$1:J$78,7,0)),0))*((Q70/1000000)*R70*70))/14</f>
        <v>0</v>
      </c>
      <c r="AD70" s="5">
        <f t="shared" ref="AD70:AD105" si="18">(IF(AC70&gt;1,1,AC70))*E70</f>
        <v>0</v>
      </c>
      <c r="AE70" s="5">
        <f>((IF(AND((O70="CA"),(K70="Adult (&gt; 15 years)")),(AD70*(VLOOKUP(L70,CA_ingestion!A$1:J$78,10,0))),0)))</f>
        <v>0</v>
      </c>
      <c r="AF70" s="5">
        <f t="shared" ref="AF70:AF105" si="19">AD70/2</f>
        <v>0</v>
      </c>
      <c r="AG70" s="5">
        <f t="shared" ref="AG70:AG105" si="20">AE70+AF70</f>
        <v>0</v>
      </c>
    </row>
    <row r="71" spans="4:33">
      <c r="D71" s="29" t="s">
        <v>369</v>
      </c>
      <c r="E71" s="35">
        <f>VLOOKUP(D71,'List Data'!$A$100:$B$104,2,0)</f>
        <v>0</v>
      </c>
      <c r="F71" s="30">
        <v>0</v>
      </c>
      <c r="G71" s="30"/>
      <c r="H71" s="30"/>
      <c r="I71" s="5" t="str">
        <f>Summary!C$23</f>
        <v>Afghanistan</v>
      </c>
      <c r="J71" s="30"/>
      <c r="K71" s="30" t="s">
        <v>213</v>
      </c>
      <c r="L71" s="30" t="s">
        <v>213</v>
      </c>
      <c r="M71" s="37">
        <f>T71*Summary!$H$27</f>
        <v>0</v>
      </c>
      <c r="N71" s="37">
        <f>U71*Summary!$H$25</f>
        <v>0</v>
      </c>
      <c r="O71" s="5">
        <f>VLOOKUP(L71,'List Data'!A$2:C$94,3,0)</f>
        <v>0</v>
      </c>
      <c r="P71" s="5" t="str">
        <f>VLOOKUP(L71,'List Data'!A$2:B$94,2,0)</f>
        <v>--------</v>
      </c>
      <c r="Q71" s="5">
        <f t="shared" si="13"/>
        <v>0</v>
      </c>
      <c r="R71" s="5">
        <f t="shared" si="14"/>
        <v>50</v>
      </c>
      <c r="S71" s="5">
        <f t="shared" si="15"/>
        <v>0</v>
      </c>
      <c r="T71" s="5">
        <f t="shared" si="16"/>
        <v>0</v>
      </c>
      <c r="U71" s="5">
        <f t="shared" si="17"/>
        <v>0</v>
      </c>
      <c r="V71" s="5">
        <f>(IF(AND((O71="OP"),(K71="Child (0-7 years)")),VLOOKUP(($R71*(Q71/1000000)),'OP Values'!$A$1:$Q$35,7),))*E71</f>
        <v>0</v>
      </c>
      <c r="W71" s="5">
        <f>(IF(O71="OP",VLOOKUP(($R71*(F71/1000000)),'OP Values'!$A$1:$Q$35,17),))*E71</f>
        <v>0</v>
      </c>
      <c r="X71" s="5">
        <f>(IF(AND((O71="Pb"),(K71="Child (0-7 years)")),(VLOOKUP(Q71,Pb!$A$2:$AV$103,13)),0))*E71</f>
        <v>0</v>
      </c>
      <c r="Y71" s="5">
        <f>(IF(AND((O71="Pb"),(K71="Child (0-7 years)")),(VLOOKUP(Q71,Pb!$A$2:$AV$103,22)),0))*E71</f>
        <v>0</v>
      </c>
      <c r="Z71" s="5">
        <f>(IF(AND((O71="Pb"),(K71="Adult (&gt; 15 years)")),(VLOOKUP(Q71,Pb!$A$2:$AV$103,48)),0))*E71</f>
        <v>0</v>
      </c>
      <c r="AA71" s="5">
        <f>(IF(AND((O71="Hg"),(K71="Child (0-7 years)")),(VLOOKUP(S71,'Hg Values'!$A$1:$M$30,3)),0))*E71</f>
        <v>0</v>
      </c>
      <c r="AB71" s="5">
        <f>(IF(AND((O71="Hg"),(K71="Child (0-7 years)")),(VLOOKUP(Q71,'Hg Values'!$A$1:$M$30,13)),0))*E71</f>
        <v>0</v>
      </c>
      <c r="AC71" s="5">
        <f>((IF(AND((O71="CA"),(K71="Adult (&gt; 15 years)")),(VLOOKUP(L71,CA_ingestion!A$1:J$78,7,0)),0))*((Q71/1000000)*R71*70))/14</f>
        <v>0</v>
      </c>
      <c r="AD71" s="5">
        <f t="shared" si="18"/>
        <v>0</v>
      </c>
      <c r="AE71" s="5">
        <f>((IF(AND((O71="CA"),(K71="Adult (&gt; 15 years)")),(AD71*(VLOOKUP(L71,CA_ingestion!A$1:J$78,10,0))),0)))</f>
        <v>0</v>
      </c>
      <c r="AF71" s="5">
        <f t="shared" si="19"/>
        <v>0</v>
      </c>
      <c r="AG71" s="5">
        <f t="shared" si="20"/>
        <v>0</v>
      </c>
    </row>
    <row r="72" spans="4:33">
      <c r="D72" s="29" t="s">
        <v>369</v>
      </c>
      <c r="E72" s="35">
        <f>VLOOKUP(D72,'List Data'!$A$100:$B$104,2,0)</f>
        <v>0</v>
      </c>
      <c r="F72" s="30">
        <v>0</v>
      </c>
      <c r="G72" s="30"/>
      <c r="H72" s="30"/>
      <c r="I72" s="5" t="str">
        <f>Summary!C$23</f>
        <v>Afghanistan</v>
      </c>
      <c r="J72" s="30"/>
      <c r="K72" s="30" t="s">
        <v>213</v>
      </c>
      <c r="L72" s="30" t="s">
        <v>213</v>
      </c>
      <c r="M72" s="37">
        <f>T72*Summary!$H$27</f>
        <v>0</v>
      </c>
      <c r="N72" s="37">
        <f>U72*Summary!$H$25</f>
        <v>0</v>
      </c>
      <c r="O72" s="5">
        <f>VLOOKUP(L72,'List Data'!A$2:C$94,3,0)</f>
        <v>0</v>
      </c>
      <c r="P72" s="5" t="str">
        <f>VLOOKUP(L72,'List Data'!A$2:B$94,2,0)</f>
        <v>--------</v>
      </c>
      <c r="Q72" s="5">
        <f t="shared" si="13"/>
        <v>0</v>
      </c>
      <c r="R72" s="5">
        <f t="shared" si="14"/>
        <v>50</v>
      </c>
      <c r="S72" s="5">
        <f t="shared" si="15"/>
        <v>0</v>
      </c>
      <c r="T72" s="5">
        <f t="shared" si="16"/>
        <v>0</v>
      </c>
      <c r="U72" s="5">
        <f t="shared" si="17"/>
        <v>0</v>
      </c>
      <c r="V72" s="5">
        <f>(IF(AND((O72="OP"),(K72="Child (0-7 years)")),VLOOKUP(($R72*(Q72/1000000)),'OP Values'!$A$1:$Q$35,7),))*E72</f>
        <v>0</v>
      </c>
      <c r="W72" s="5">
        <f>(IF(O72="OP",VLOOKUP(($R72*(F72/1000000)),'OP Values'!$A$1:$Q$35,17),))*E72</f>
        <v>0</v>
      </c>
      <c r="X72" s="5">
        <f>(IF(AND((O72="Pb"),(K72="Child (0-7 years)")),(VLOOKUP(Q72,Pb!$A$2:$AV$103,13)),0))*E72</f>
        <v>0</v>
      </c>
      <c r="Y72" s="5">
        <f>(IF(AND((O72="Pb"),(K72="Child (0-7 years)")),(VLOOKUP(Q72,Pb!$A$2:$AV$103,22)),0))*E72</f>
        <v>0</v>
      </c>
      <c r="Z72" s="5">
        <f>(IF(AND((O72="Pb"),(K72="Adult (&gt; 15 years)")),(VLOOKUP(Q72,Pb!$A$2:$AV$103,48)),0))*E72</f>
        <v>0</v>
      </c>
      <c r="AA72" s="5">
        <f>(IF(AND((O72="Hg"),(K72="Child (0-7 years)")),(VLOOKUP(S72,'Hg Values'!$A$1:$M$30,3)),0))*E72</f>
        <v>0</v>
      </c>
      <c r="AB72" s="5">
        <f>(IF(AND((O72="Hg"),(K72="Child (0-7 years)")),(VLOOKUP(Q72,'Hg Values'!$A$1:$M$30,13)),0))*E72</f>
        <v>0</v>
      </c>
      <c r="AC72" s="5">
        <f>((IF(AND((O72="CA"),(K72="Adult (&gt; 15 years)")),(VLOOKUP(L72,CA_ingestion!A$1:J$78,7,0)),0))*((Q72/1000000)*R72*70))/14</f>
        <v>0</v>
      </c>
      <c r="AD72" s="5">
        <f t="shared" si="18"/>
        <v>0</v>
      </c>
      <c r="AE72" s="5">
        <f>((IF(AND((O72="CA"),(K72="Adult (&gt; 15 years)")),(AD72*(VLOOKUP(L72,CA_ingestion!A$1:J$78,10,0))),0)))</f>
        <v>0</v>
      </c>
      <c r="AF72" s="5">
        <f t="shared" si="19"/>
        <v>0</v>
      </c>
      <c r="AG72" s="5">
        <f t="shared" si="20"/>
        <v>0</v>
      </c>
    </row>
    <row r="73" spans="4:33">
      <c r="D73" s="29" t="s">
        <v>369</v>
      </c>
      <c r="E73" s="35">
        <f>VLOOKUP(D73,'List Data'!$A$100:$B$104,2,0)</f>
        <v>0</v>
      </c>
      <c r="F73" s="30">
        <v>0</v>
      </c>
      <c r="G73" s="30"/>
      <c r="H73" s="30"/>
      <c r="I73" s="5" t="str">
        <f>Summary!C$23</f>
        <v>Afghanistan</v>
      </c>
      <c r="J73" s="30"/>
      <c r="K73" s="30" t="s">
        <v>213</v>
      </c>
      <c r="L73" s="30" t="s">
        <v>213</v>
      </c>
      <c r="M73" s="37">
        <f>T73*Summary!$H$27</f>
        <v>0</v>
      </c>
      <c r="N73" s="37">
        <f>U73*Summary!$H$25</f>
        <v>0</v>
      </c>
      <c r="O73" s="5">
        <f>VLOOKUP(L73,'List Data'!A$2:C$94,3,0)</f>
        <v>0</v>
      </c>
      <c r="P73" s="5" t="str">
        <f>VLOOKUP(L73,'List Data'!A$2:B$94,2,0)</f>
        <v>--------</v>
      </c>
      <c r="Q73" s="5">
        <f t="shared" si="13"/>
        <v>0</v>
      </c>
      <c r="R73" s="5">
        <f t="shared" si="14"/>
        <v>50</v>
      </c>
      <c r="S73" s="5">
        <f t="shared" si="15"/>
        <v>0</v>
      </c>
      <c r="T73" s="5">
        <f t="shared" si="16"/>
        <v>0</v>
      </c>
      <c r="U73" s="5">
        <f t="shared" si="17"/>
        <v>0</v>
      </c>
      <c r="V73" s="5">
        <f>(IF(AND((O73="OP"),(K73="Child (0-7 years)")),VLOOKUP(($R73*(Q73/1000000)),'OP Values'!$A$1:$Q$35,7),))*E73</f>
        <v>0</v>
      </c>
      <c r="W73" s="5">
        <f>(IF(O73="OP",VLOOKUP(($R73*(F73/1000000)),'OP Values'!$A$1:$Q$35,17),))*E73</f>
        <v>0</v>
      </c>
      <c r="X73" s="5">
        <f>(IF(AND((O73="Pb"),(K73="Child (0-7 years)")),(VLOOKUP(Q73,Pb!$A$2:$AV$103,13)),0))*E73</f>
        <v>0</v>
      </c>
      <c r="Y73" s="5">
        <f>(IF(AND((O73="Pb"),(K73="Child (0-7 years)")),(VLOOKUP(Q73,Pb!$A$2:$AV$103,22)),0))*E73</f>
        <v>0</v>
      </c>
      <c r="Z73" s="5">
        <f>(IF(AND((O73="Pb"),(K73="Adult (&gt; 15 years)")),(VLOOKUP(Q73,Pb!$A$2:$AV$103,48)),0))*E73</f>
        <v>0</v>
      </c>
      <c r="AA73" s="5">
        <f>(IF(AND((O73="Hg"),(K73="Child (0-7 years)")),(VLOOKUP(S73,'Hg Values'!$A$1:$M$30,3)),0))*E73</f>
        <v>0</v>
      </c>
      <c r="AB73" s="5">
        <f>(IF(AND((O73="Hg"),(K73="Child (0-7 years)")),(VLOOKUP(Q73,'Hg Values'!$A$1:$M$30,13)),0))*E73</f>
        <v>0</v>
      </c>
      <c r="AC73" s="5">
        <f>((IF(AND((O73="CA"),(K73="Adult (&gt; 15 years)")),(VLOOKUP(L73,CA_ingestion!A$1:J$78,7,0)),0))*((Q73/1000000)*R73*70))/14</f>
        <v>0</v>
      </c>
      <c r="AD73" s="5">
        <f t="shared" si="18"/>
        <v>0</v>
      </c>
      <c r="AE73" s="5">
        <f>((IF(AND((O73="CA"),(K73="Adult (&gt; 15 years)")),(AD73*(VLOOKUP(L73,CA_ingestion!A$1:J$78,10,0))),0)))</f>
        <v>0</v>
      </c>
      <c r="AF73" s="5">
        <f t="shared" si="19"/>
        <v>0</v>
      </c>
      <c r="AG73" s="5">
        <f t="shared" si="20"/>
        <v>0</v>
      </c>
    </row>
    <row r="74" spans="4:33">
      <c r="D74" s="29" t="s">
        <v>369</v>
      </c>
      <c r="E74" s="35">
        <f>VLOOKUP(D74,'List Data'!$A$100:$B$104,2,0)</f>
        <v>0</v>
      </c>
      <c r="F74" s="30">
        <v>0</v>
      </c>
      <c r="G74" s="30"/>
      <c r="H74" s="30"/>
      <c r="I74" s="5" t="str">
        <f>Summary!C$23</f>
        <v>Afghanistan</v>
      </c>
      <c r="J74" s="30"/>
      <c r="K74" s="30" t="s">
        <v>213</v>
      </c>
      <c r="L74" s="30" t="s">
        <v>213</v>
      </c>
      <c r="M74" s="37">
        <f>T74*Summary!$H$27</f>
        <v>0</v>
      </c>
      <c r="N74" s="37">
        <f>U74*Summary!$H$25</f>
        <v>0</v>
      </c>
      <c r="O74" s="5">
        <f>VLOOKUP(L74,'List Data'!A$2:C$94,3,0)</f>
        <v>0</v>
      </c>
      <c r="P74" s="5" t="str">
        <f>VLOOKUP(L74,'List Data'!A$2:B$94,2,0)</f>
        <v>--------</v>
      </c>
      <c r="Q74" s="5">
        <f t="shared" si="13"/>
        <v>0</v>
      </c>
      <c r="R74" s="5">
        <f t="shared" si="14"/>
        <v>50</v>
      </c>
      <c r="S74" s="5">
        <f t="shared" si="15"/>
        <v>0</v>
      </c>
      <c r="T74" s="5">
        <f t="shared" si="16"/>
        <v>0</v>
      </c>
      <c r="U74" s="5">
        <f t="shared" si="17"/>
        <v>0</v>
      </c>
      <c r="V74" s="5">
        <f>(IF(AND((O74="OP"),(K74="Child (0-7 years)")),VLOOKUP(($R74*(Q74/1000000)),'OP Values'!$A$1:$Q$35,7),))*E74</f>
        <v>0</v>
      </c>
      <c r="W74" s="5">
        <f>(IF(O74="OP",VLOOKUP(($R74*(F74/1000000)),'OP Values'!$A$1:$Q$35,17),))*E74</f>
        <v>0</v>
      </c>
      <c r="X74" s="5">
        <f>(IF(AND((O74="Pb"),(K74="Child (0-7 years)")),(VLOOKUP(Q74,Pb!$A$2:$AV$103,13)),0))*E74</f>
        <v>0</v>
      </c>
      <c r="Y74" s="5">
        <f>(IF(AND((O74="Pb"),(K74="Child (0-7 years)")),(VLOOKUP(Q74,Pb!$A$2:$AV$103,22)),0))*E74</f>
        <v>0</v>
      </c>
      <c r="Z74" s="5">
        <f>(IF(AND((O74="Pb"),(K74="Adult (&gt; 15 years)")),(VLOOKUP(Q74,Pb!$A$2:$AV$103,48)),0))*E74</f>
        <v>0</v>
      </c>
      <c r="AA74" s="5">
        <f>(IF(AND((O74="Hg"),(K74="Child (0-7 years)")),(VLOOKUP(S74,'Hg Values'!$A$1:$M$30,3)),0))*E74</f>
        <v>0</v>
      </c>
      <c r="AB74" s="5">
        <f>(IF(AND((O74="Hg"),(K74="Child (0-7 years)")),(VLOOKUP(Q74,'Hg Values'!$A$1:$M$30,13)),0))*E74</f>
        <v>0</v>
      </c>
      <c r="AC74" s="5">
        <f>((IF(AND((O74="CA"),(K74="Adult (&gt; 15 years)")),(VLOOKUP(L74,CA_ingestion!A$1:J$78,7,0)),0))*((Q74/1000000)*R74*70))/14</f>
        <v>0</v>
      </c>
      <c r="AD74" s="5">
        <f t="shared" si="18"/>
        <v>0</v>
      </c>
      <c r="AE74" s="5">
        <f>((IF(AND((O74="CA"),(K74="Adult (&gt; 15 years)")),(AD74*(VLOOKUP(L74,CA_ingestion!A$1:J$78,10,0))),0)))</f>
        <v>0</v>
      </c>
      <c r="AF74" s="5">
        <f t="shared" si="19"/>
        <v>0</v>
      </c>
      <c r="AG74" s="5">
        <f t="shared" si="20"/>
        <v>0</v>
      </c>
    </row>
    <row r="75" spans="4:33">
      <c r="D75" s="29" t="s">
        <v>369</v>
      </c>
      <c r="E75" s="35">
        <f>VLOOKUP(D75,'List Data'!$A$100:$B$104,2,0)</f>
        <v>0</v>
      </c>
      <c r="F75" s="30">
        <v>0</v>
      </c>
      <c r="G75" s="30"/>
      <c r="H75" s="30"/>
      <c r="I75" s="5" t="str">
        <f>Summary!C$23</f>
        <v>Afghanistan</v>
      </c>
      <c r="J75" s="30"/>
      <c r="K75" s="30" t="s">
        <v>213</v>
      </c>
      <c r="L75" s="30" t="s">
        <v>213</v>
      </c>
      <c r="M75" s="37">
        <f>T75*Summary!$H$27</f>
        <v>0</v>
      </c>
      <c r="N75" s="37">
        <f>U75*Summary!$H$25</f>
        <v>0</v>
      </c>
      <c r="O75" s="5">
        <f>VLOOKUP(L75,'List Data'!A$2:C$94,3,0)</f>
        <v>0</v>
      </c>
      <c r="P75" s="5" t="str">
        <f>VLOOKUP(L75,'List Data'!A$2:B$94,2,0)</f>
        <v>--------</v>
      </c>
      <c r="Q75" s="5">
        <f t="shared" si="13"/>
        <v>0</v>
      </c>
      <c r="R75" s="5">
        <f t="shared" si="14"/>
        <v>50</v>
      </c>
      <c r="S75" s="5">
        <f t="shared" si="15"/>
        <v>0</v>
      </c>
      <c r="T75" s="5">
        <f t="shared" si="16"/>
        <v>0</v>
      </c>
      <c r="U75" s="5">
        <f t="shared" si="17"/>
        <v>0</v>
      </c>
      <c r="V75" s="5">
        <f>(IF(AND((O75="OP"),(K75="Child (0-7 years)")),VLOOKUP(($R75*(Q75/1000000)),'OP Values'!$A$1:$Q$35,7),))*E75</f>
        <v>0</v>
      </c>
      <c r="W75" s="5">
        <f>(IF(O75="OP",VLOOKUP(($R75*(F75/1000000)),'OP Values'!$A$1:$Q$35,17),))*E75</f>
        <v>0</v>
      </c>
      <c r="X75" s="5">
        <f>(IF(AND((O75="Pb"),(K75="Child (0-7 years)")),(VLOOKUP(Q75,Pb!$A$2:$AV$103,13)),0))*E75</f>
        <v>0</v>
      </c>
      <c r="Y75" s="5">
        <f>(IF(AND((O75="Pb"),(K75="Child (0-7 years)")),(VLOOKUP(Q75,Pb!$A$2:$AV$103,22)),0))*E75</f>
        <v>0</v>
      </c>
      <c r="Z75" s="5">
        <f>(IF(AND((O75="Pb"),(K75="Adult (&gt; 15 years)")),(VLOOKUP(Q75,Pb!$A$2:$AV$103,48)),0))*E75</f>
        <v>0</v>
      </c>
      <c r="AA75" s="5">
        <f>(IF(AND((O75="Hg"),(K75="Child (0-7 years)")),(VLOOKUP(S75,'Hg Values'!$A$1:$M$30,3)),0))*E75</f>
        <v>0</v>
      </c>
      <c r="AB75" s="5">
        <f>(IF(AND((O75="Hg"),(K75="Child (0-7 years)")),(VLOOKUP(Q75,'Hg Values'!$A$1:$M$30,13)),0))*E75</f>
        <v>0</v>
      </c>
      <c r="AC75" s="5">
        <f>((IF(AND((O75="CA"),(K75="Adult (&gt; 15 years)")),(VLOOKUP(L75,CA_ingestion!A$1:J$78,7,0)),0))*((Q75/1000000)*R75*70))/14</f>
        <v>0</v>
      </c>
      <c r="AD75" s="5">
        <f t="shared" si="18"/>
        <v>0</v>
      </c>
      <c r="AE75" s="5">
        <f>((IF(AND((O75="CA"),(K75="Adult (&gt; 15 years)")),(AD75*(VLOOKUP(L75,CA_ingestion!A$1:J$78,10,0))),0)))</f>
        <v>0</v>
      </c>
      <c r="AF75" s="5">
        <f t="shared" si="19"/>
        <v>0</v>
      </c>
      <c r="AG75" s="5">
        <f t="shared" si="20"/>
        <v>0</v>
      </c>
    </row>
    <row r="76" spans="4:33">
      <c r="D76" s="29" t="s">
        <v>369</v>
      </c>
      <c r="E76" s="35">
        <f>VLOOKUP(D76,'List Data'!$A$100:$B$104,2,0)</f>
        <v>0</v>
      </c>
      <c r="F76" s="30">
        <v>0</v>
      </c>
      <c r="G76" s="30"/>
      <c r="H76" s="30"/>
      <c r="I76" s="5" t="str">
        <f>Summary!C$23</f>
        <v>Afghanistan</v>
      </c>
      <c r="J76" s="30"/>
      <c r="K76" s="30" t="s">
        <v>213</v>
      </c>
      <c r="L76" s="30" t="s">
        <v>213</v>
      </c>
      <c r="M76" s="37">
        <f>T76*Summary!$H$27</f>
        <v>0</v>
      </c>
      <c r="N76" s="37">
        <f>U76*Summary!$H$25</f>
        <v>0</v>
      </c>
      <c r="O76" s="5">
        <f>VLOOKUP(L76,'List Data'!A$2:C$94,3,0)</f>
        <v>0</v>
      </c>
      <c r="P76" s="5" t="str">
        <f>VLOOKUP(L76,'List Data'!A$2:B$94,2,0)</f>
        <v>--------</v>
      </c>
      <c r="Q76" s="5">
        <f t="shared" si="13"/>
        <v>0</v>
      </c>
      <c r="R76" s="5">
        <f t="shared" si="14"/>
        <v>50</v>
      </c>
      <c r="S76" s="5">
        <f t="shared" si="15"/>
        <v>0</v>
      </c>
      <c r="T76" s="5">
        <f t="shared" si="16"/>
        <v>0</v>
      </c>
      <c r="U76" s="5">
        <f t="shared" si="17"/>
        <v>0</v>
      </c>
      <c r="V76" s="5">
        <f>(IF(AND((O76="OP"),(K76="Child (0-7 years)")),VLOOKUP(($R76*(Q76/1000000)),'OP Values'!$A$1:$Q$35,7),))*E76</f>
        <v>0</v>
      </c>
      <c r="W76" s="5">
        <f>(IF(O76="OP",VLOOKUP(($R76*(F76/1000000)),'OP Values'!$A$1:$Q$35,17),))*E76</f>
        <v>0</v>
      </c>
      <c r="X76" s="5">
        <f>(IF(AND((O76="Pb"),(K76="Child (0-7 years)")),(VLOOKUP(Q76,Pb!$A$2:$AV$103,13)),0))*E76</f>
        <v>0</v>
      </c>
      <c r="Y76" s="5">
        <f>(IF(AND((O76="Pb"),(K76="Child (0-7 years)")),(VLOOKUP(Q76,Pb!$A$2:$AV$103,22)),0))*E76</f>
        <v>0</v>
      </c>
      <c r="Z76" s="5">
        <f>(IF(AND((O76="Pb"),(K76="Adult (&gt; 15 years)")),(VLOOKUP(Q76,Pb!$A$2:$AV$103,48)),0))*E76</f>
        <v>0</v>
      </c>
      <c r="AA76" s="5">
        <f>(IF(AND((O76="Hg"),(K76="Child (0-7 years)")),(VLOOKUP(S76,'Hg Values'!$A$1:$M$30,3)),0))*E76</f>
        <v>0</v>
      </c>
      <c r="AB76" s="5">
        <f>(IF(AND((O76="Hg"),(K76="Child (0-7 years)")),(VLOOKUP(Q76,'Hg Values'!$A$1:$M$30,13)),0))*E76</f>
        <v>0</v>
      </c>
      <c r="AC76" s="5">
        <f>((IF(AND((O76="CA"),(K76="Adult (&gt; 15 years)")),(VLOOKUP(L76,CA_ingestion!A$1:J$78,7,0)),0))*((Q76/1000000)*R76*70))/14</f>
        <v>0</v>
      </c>
      <c r="AD76" s="5">
        <f t="shared" si="18"/>
        <v>0</v>
      </c>
      <c r="AE76" s="5">
        <f>((IF(AND((O76="CA"),(K76="Adult (&gt; 15 years)")),(AD76*(VLOOKUP(L76,CA_ingestion!A$1:J$78,10,0))),0)))</f>
        <v>0</v>
      </c>
      <c r="AF76" s="5">
        <f t="shared" si="19"/>
        <v>0</v>
      </c>
      <c r="AG76" s="5">
        <f t="shared" si="20"/>
        <v>0</v>
      </c>
    </row>
    <row r="77" spans="4:33">
      <c r="D77" s="29" t="s">
        <v>369</v>
      </c>
      <c r="E77" s="35">
        <f>VLOOKUP(D77,'List Data'!$A$100:$B$104,2,0)</f>
        <v>0</v>
      </c>
      <c r="F77" s="30">
        <v>0</v>
      </c>
      <c r="G77" s="30"/>
      <c r="H77" s="30"/>
      <c r="I77" s="5" t="str">
        <f>Summary!C$23</f>
        <v>Afghanistan</v>
      </c>
      <c r="J77" s="30"/>
      <c r="K77" s="30" t="s">
        <v>213</v>
      </c>
      <c r="L77" s="30" t="s">
        <v>213</v>
      </c>
      <c r="M77" s="37">
        <f>T77*Summary!$H$27</f>
        <v>0</v>
      </c>
      <c r="N77" s="37">
        <f>U77*Summary!$H$25</f>
        <v>0</v>
      </c>
      <c r="O77" s="5">
        <f>VLOOKUP(L77,'List Data'!A$2:C$94,3,0)</f>
        <v>0</v>
      </c>
      <c r="P77" s="5" t="str">
        <f>VLOOKUP(L77,'List Data'!A$2:B$94,2,0)</f>
        <v>--------</v>
      </c>
      <c r="Q77" s="5">
        <f t="shared" si="13"/>
        <v>0</v>
      </c>
      <c r="R77" s="5">
        <f t="shared" si="14"/>
        <v>50</v>
      </c>
      <c r="S77" s="5">
        <f t="shared" si="15"/>
        <v>0</v>
      </c>
      <c r="T77" s="5">
        <f t="shared" si="16"/>
        <v>0</v>
      </c>
      <c r="U77" s="5">
        <f t="shared" si="17"/>
        <v>0</v>
      </c>
      <c r="V77" s="5">
        <f>(IF(AND((O77="OP"),(K77="Child (0-7 years)")),VLOOKUP(($R77*(Q77/1000000)),'OP Values'!$A$1:$Q$35,7),))*E77</f>
        <v>0</v>
      </c>
      <c r="W77" s="5">
        <f>(IF(O77="OP",VLOOKUP(($R77*(F77/1000000)),'OP Values'!$A$1:$Q$35,17),))*E77</f>
        <v>0</v>
      </c>
      <c r="X77" s="5">
        <f>(IF(AND((O77="Pb"),(K77="Child (0-7 years)")),(VLOOKUP(Q77,Pb!$A$2:$AV$103,13)),0))*E77</f>
        <v>0</v>
      </c>
      <c r="Y77" s="5">
        <f>(IF(AND((O77="Pb"),(K77="Child (0-7 years)")),(VLOOKUP(Q77,Pb!$A$2:$AV$103,22)),0))*E77</f>
        <v>0</v>
      </c>
      <c r="Z77" s="5">
        <f>(IF(AND((O77="Pb"),(K77="Adult (&gt; 15 years)")),(VLOOKUP(Q77,Pb!$A$2:$AV$103,48)),0))*E77</f>
        <v>0</v>
      </c>
      <c r="AA77" s="5">
        <f>(IF(AND((O77="Hg"),(K77="Child (0-7 years)")),(VLOOKUP(S77,'Hg Values'!$A$1:$M$30,3)),0))*E77</f>
        <v>0</v>
      </c>
      <c r="AB77" s="5">
        <f>(IF(AND((O77="Hg"),(K77="Child (0-7 years)")),(VLOOKUP(Q77,'Hg Values'!$A$1:$M$30,13)),0))*E77</f>
        <v>0</v>
      </c>
      <c r="AC77" s="5">
        <f>((IF(AND((O77="CA"),(K77="Adult (&gt; 15 years)")),(VLOOKUP(L77,CA_ingestion!A$1:J$78,7,0)),0))*((Q77/1000000)*R77*70))/14</f>
        <v>0</v>
      </c>
      <c r="AD77" s="5">
        <f t="shared" si="18"/>
        <v>0</v>
      </c>
      <c r="AE77" s="5">
        <f>((IF(AND((O77="CA"),(K77="Adult (&gt; 15 years)")),(AD77*(VLOOKUP(L77,CA_ingestion!A$1:J$78,10,0))),0)))</f>
        <v>0</v>
      </c>
      <c r="AF77" s="5">
        <f t="shared" si="19"/>
        <v>0</v>
      </c>
      <c r="AG77" s="5">
        <f t="shared" si="20"/>
        <v>0</v>
      </c>
    </row>
    <row r="78" spans="4:33">
      <c r="D78" s="29" t="s">
        <v>369</v>
      </c>
      <c r="E78" s="35">
        <f>VLOOKUP(D78,'List Data'!$A$100:$B$104,2,0)</f>
        <v>0</v>
      </c>
      <c r="F78" s="30">
        <v>0</v>
      </c>
      <c r="G78" s="30"/>
      <c r="H78" s="30"/>
      <c r="I78" s="5" t="str">
        <f>Summary!C$23</f>
        <v>Afghanistan</v>
      </c>
      <c r="J78" s="30"/>
      <c r="K78" s="30" t="s">
        <v>213</v>
      </c>
      <c r="L78" s="30" t="s">
        <v>213</v>
      </c>
      <c r="M78" s="37">
        <f>T78*Summary!$H$27</f>
        <v>0</v>
      </c>
      <c r="N78" s="37">
        <f>U78*Summary!$H$25</f>
        <v>0</v>
      </c>
      <c r="O78" s="5">
        <f>VLOOKUP(L78,'List Data'!A$2:C$94,3,0)</f>
        <v>0</v>
      </c>
      <c r="P78" s="5" t="str">
        <f>VLOOKUP(L78,'List Data'!A$2:B$94,2,0)</f>
        <v>--------</v>
      </c>
      <c r="Q78" s="5">
        <f t="shared" si="13"/>
        <v>0</v>
      </c>
      <c r="R78" s="5">
        <f t="shared" si="14"/>
        <v>50</v>
      </c>
      <c r="S78" s="5">
        <f t="shared" si="15"/>
        <v>0</v>
      </c>
      <c r="T78" s="5">
        <f t="shared" si="16"/>
        <v>0</v>
      </c>
      <c r="U78" s="5">
        <f t="shared" si="17"/>
        <v>0</v>
      </c>
      <c r="V78" s="5">
        <f>(IF(AND((O78="OP"),(K78="Child (0-7 years)")),VLOOKUP(($R78*(Q78/1000000)),'OP Values'!$A$1:$Q$35,7),))*E78</f>
        <v>0</v>
      </c>
      <c r="W78" s="5">
        <f>(IF(O78="OP",VLOOKUP(($R78*(F78/1000000)),'OP Values'!$A$1:$Q$35,17),))*E78</f>
        <v>0</v>
      </c>
      <c r="X78" s="5">
        <f>(IF(AND((O78="Pb"),(K78="Child (0-7 years)")),(VLOOKUP(Q78,Pb!$A$2:$AV$103,13)),0))*E78</f>
        <v>0</v>
      </c>
      <c r="Y78" s="5">
        <f>(IF(AND((O78="Pb"),(K78="Child (0-7 years)")),(VLOOKUP(Q78,Pb!$A$2:$AV$103,22)),0))*E78</f>
        <v>0</v>
      </c>
      <c r="Z78" s="5">
        <f>(IF(AND((O78="Pb"),(K78="Adult (&gt; 15 years)")),(VLOOKUP(Q78,Pb!$A$2:$AV$103,48)),0))*E78</f>
        <v>0</v>
      </c>
      <c r="AA78" s="5">
        <f>(IF(AND((O78="Hg"),(K78="Child (0-7 years)")),(VLOOKUP(S78,'Hg Values'!$A$1:$M$30,3)),0))*E78</f>
        <v>0</v>
      </c>
      <c r="AB78" s="5">
        <f>(IF(AND((O78="Hg"),(K78="Child (0-7 years)")),(VLOOKUP(Q78,'Hg Values'!$A$1:$M$30,13)),0))*E78</f>
        <v>0</v>
      </c>
      <c r="AC78" s="5">
        <f>((IF(AND((O78="CA"),(K78="Adult (&gt; 15 years)")),(VLOOKUP(L78,CA_ingestion!A$1:J$78,7,0)),0))*((Q78/1000000)*R78*70))/14</f>
        <v>0</v>
      </c>
      <c r="AD78" s="5">
        <f t="shared" si="18"/>
        <v>0</v>
      </c>
      <c r="AE78" s="5">
        <f>((IF(AND((O78="CA"),(K78="Adult (&gt; 15 years)")),(AD78*(VLOOKUP(L78,CA_ingestion!A$1:J$78,10,0))),0)))</f>
        <v>0</v>
      </c>
      <c r="AF78" s="5">
        <f t="shared" si="19"/>
        <v>0</v>
      </c>
      <c r="AG78" s="5">
        <f t="shared" si="20"/>
        <v>0</v>
      </c>
    </row>
    <row r="79" spans="4:33">
      <c r="D79" s="29" t="s">
        <v>369</v>
      </c>
      <c r="E79" s="35">
        <f>VLOOKUP(D79,'List Data'!$A$100:$B$104,2,0)</f>
        <v>0</v>
      </c>
      <c r="F79" s="30">
        <v>0</v>
      </c>
      <c r="G79" s="30"/>
      <c r="H79" s="30"/>
      <c r="I79" s="5" t="str">
        <f>Summary!C$23</f>
        <v>Afghanistan</v>
      </c>
      <c r="J79" s="30"/>
      <c r="K79" s="30" t="s">
        <v>213</v>
      </c>
      <c r="L79" s="30" t="s">
        <v>213</v>
      </c>
      <c r="M79" s="37">
        <f>T79*Summary!$H$27</f>
        <v>0</v>
      </c>
      <c r="N79" s="37">
        <f>U79*Summary!$H$25</f>
        <v>0</v>
      </c>
      <c r="O79" s="5">
        <f>VLOOKUP(L79,'List Data'!A$2:C$94,3,0)</f>
        <v>0</v>
      </c>
      <c r="P79" s="5" t="str">
        <f>VLOOKUP(L79,'List Data'!A$2:B$94,2,0)</f>
        <v>--------</v>
      </c>
      <c r="Q79" s="5">
        <f t="shared" si="13"/>
        <v>0</v>
      </c>
      <c r="R79" s="5">
        <f t="shared" si="14"/>
        <v>50</v>
      </c>
      <c r="S79" s="5">
        <f t="shared" si="15"/>
        <v>0</v>
      </c>
      <c r="T79" s="5">
        <f t="shared" si="16"/>
        <v>0</v>
      </c>
      <c r="U79" s="5">
        <f t="shared" si="17"/>
        <v>0</v>
      </c>
      <c r="V79" s="5">
        <f>(IF(AND((O79="OP"),(K79="Child (0-7 years)")),VLOOKUP(($R79*(Q79/1000000)),'OP Values'!$A$1:$Q$35,7),))*E79</f>
        <v>0</v>
      </c>
      <c r="W79" s="5">
        <f>(IF(O79="OP",VLOOKUP(($R79*(F79/1000000)),'OP Values'!$A$1:$Q$35,17),))*E79</f>
        <v>0</v>
      </c>
      <c r="X79" s="5">
        <f>(IF(AND((O79="Pb"),(K79="Child (0-7 years)")),(VLOOKUP(Q79,Pb!$A$2:$AV$103,13)),0))*E79</f>
        <v>0</v>
      </c>
      <c r="Y79" s="5">
        <f>(IF(AND((O79="Pb"),(K79="Child (0-7 years)")),(VLOOKUP(Q79,Pb!$A$2:$AV$103,22)),0))*E79</f>
        <v>0</v>
      </c>
      <c r="Z79" s="5">
        <f>(IF(AND((O79="Pb"),(K79="Adult (&gt; 15 years)")),(VLOOKUP(Q79,Pb!$A$2:$AV$103,48)),0))*E79</f>
        <v>0</v>
      </c>
      <c r="AA79" s="5">
        <f>(IF(AND((O79="Hg"),(K79="Child (0-7 years)")),(VLOOKUP(S79,'Hg Values'!$A$1:$M$30,3)),0))*E79</f>
        <v>0</v>
      </c>
      <c r="AB79" s="5">
        <f>(IF(AND((O79="Hg"),(K79="Child (0-7 years)")),(VLOOKUP(Q79,'Hg Values'!$A$1:$M$30,13)),0))*E79</f>
        <v>0</v>
      </c>
      <c r="AC79" s="5">
        <f>((IF(AND((O79="CA"),(K79="Adult (&gt; 15 years)")),(VLOOKUP(L79,CA_ingestion!A$1:J$78,7,0)),0))*((Q79/1000000)*R79*70))/14</f>
        <v>0</v>
      </c>
      <c r="AD79" s="5">
        <f t="shared" si="18"/>
        <v>0</v>
      </c>
      <c r="AE79" s="5">
        <f>((IF(AND((O79="CA"),(K79="Adult (&gt; 15 years)")),(AD79*(VLOOKUP(L79,CA_ingestion!A$1:J$78,10,0))),0)))</f>
        <v>0</v>
      </c>
      <c r="AF79" s="5">
        <f t="shared" si="19"/>
        <v>0</v>
      </c>
      <c r="AG79" s="5">
        <f t="shared" si="20"/>
        <v>0</v>
      </c>
    </row>
    <row r="80" spans="4:33">
      <c r="D80" s="29" t="s">
        <v>369</v>
      </c>
      <c r="E80" s="35">
        <f>VLOOKUP(D80,'List Data'!$A$100:$B$104,2,0)</f>
        <v>0</v>
      </c>
      <c r="F80" s="30">
        <v>0</v>
      </c>
      <c r="G80" s="30"/>
      <c r="H80" s="30"/>
      <c r="I80" s="5" t="str">
        <f>Summary!C$23</f>
        <v>Afghanistan</v>
      </c>
      <c r="J80" s="30"/>
      <c r="K80" s="30" t="s">
        <v>213</v>
      </c>
      <c r="L80" s="30" t="s">
        <v>213</v>
      </c>
      <c r="M80" s="37">
        <f>T80*Summary!$H$27</f>
        <v>0</v>
      </c>
      <c r="N80" s="37">
        <f>U80*Summary!$H$25</f>
        <v>0</v>
      </c>
      <c r="O80" s="5">
        <f>VLOOKUP(L80,'List Data'!A$2:C$94,3,0)</f>
        <v>0</v>
      </c>
      <c r="P80" s="5" t="str">
        <f>VLOOKUP(L80,'List Data'!A$2:B$94,2,0)</f>
        <v>--------</v>
      </c>
      <c r="Q80" s="5">
        <f t="shared" si="13"/>
        <v>0</v>
      </c>
      <c r="R80" s="5">
        <f t="shared" si="14"/>
        <v>50</v>
      </c>
      <c r="S80" s="5">
        <f t="shared" si="15"/>
        <v>0</v>
      </c>
      <c r="T80" s="5">
        <f t="shared" si="16"/>
        <v>0</v>
      </c>
      <c r="U80" s="5">
        <f t="shared" si="17"/>
        <v>0</v>
      </c>
      <c r="V80" s="5">
        <f>(IF(AND((O80="OP"),(K80="Child (0-7 years)")),VLOOKUP(($R80*(Q80/1000000)),'OP Values'!$A$1:$Q$35,7),))*E80</f>
        <v>0</v>
      </c>
      <c r="W80" s="5">
        <f>(IF(O80="OP",VLOOKUP(($R80*(F80/1000000)),'OP Values'!$A$1:$Q$35,17),))*E80</f>
        <v>0</v>
      </c>
      <c r="X80" s="5">
        <f>(IF(AND((O80="Pb"),(K80="Child (0-7 years)")),(VLOOKUP(Q80,Pb!$A$2:$AV$103,13)),0))*E80</f>
        <v>0</v>
      </c>
      <c r="Y80" s="5">
        <f>(IF(AND((O80="Pb"),(K80="Child (0-7 years)")),(VLOOKUP(Q80,Pb!$A$2:$AV$103,22)),0))*E80</f>
        <v>0</v>
      </c>
      <c r="Z80" s="5">
        <f>(IF(AND((O80="Pb"),(K80="Adult (&gt; 15 years)")),(VLOOKUP(Q80,Pb!$A$2:$AV$103,48)),0))*E80</f>
        <v>0</v>
      </c>
      <c r="AA80" s="5">
        <f>(IF(AND((O80="Hg"),(K80="Child (0-7 years)")),(VLOOKUP(S80,'Hg Values'!$A$1:$M$30,3)),0))*E80</f>
        <v>0</v>
      </c>
      <c r="AB80" s="5">
        <f>(IF(AND((O80="Hg"),(K80="Child (0-7 years)")),(VLOOKUP(Q80,'Hg Values'!$A$1:$M$30,13)),0))*E80</f>
        <v>0</v>
      </c>
      <c r="AC80" s="5">
        <f>((IF(AND((O80="CA"),(K80="Adult (&gt; 15 years)")),(VLOOKUP(L80,CA_ingestion!A$1:J$78,7,0)),0))*((Q80/1000000)*R80*70))/14</f>
        <v>0</v>
      </c>
      <c r="AD80" s="5">
        <f t="shared" si="18"/>
        <v>0</v>
      </c>
      <c r="AE80" s="5">
        <f>((IF(AND((O80="CA"),(K80="Adult (&gt; 15 years)")),(AD80*(VLOOKUP(L80,CA_ingestion!A$1:J$78,10,0))),0)))</f>
        <v>0</v>
      </c>
      <c r="AF80" s="5">
        <f t="shared" si="19"/>
        <v>0</v>
      </c>
      <c r="AG80" s="5">
        <f t="shared" si="20"/>
        <v>0</v>
      </c>
    </row>
    <row r="81" spans="4:33">
      <c r="D81" s="29" t="s">
        <v>369</v>
      </c>
      <c r="E81" s="35">
        <f>VLOOKUP(D81,'List Data'!$A$100:$B$104,2,0)</f>
        <v>0</v>
      </c>
      <c r="F81" s="30">
        <v>0</v>
      </c>
      <c r="G81" s="30"/>
      <c r="H81" s="30"/>
      <c r="I81" s="5" t="str">
        <f>Summary!C$23</f>
        <v>Afghanistan</v>
      </c>
      <c r="J81" s="30"/>
      <c r="K81" s="30" t="s">
        <v>213</v>
      </c>
      <c r="L81" s="30" t="s">
        <v>213</v>
      </c>
      <c r="M81" s="37">
        <f>T81*Summary!$H$27</f>
        <v>0</v>
      </c>
      <c r="N81" s="37">
        <f>U81*Summary!$H$25</f>
        <v>0</v>
      </c>
      <c r="O81" s="5">
        <f>VLOOKUP(L81,'List Data'!A$2:C$94,3,0)</f>
        <v>0</v>
      </c>
      <c r="P81" s="5" t="str">
        <f>VLOOKUP(L81,'List Data'!A$2:B$94,2,0)</f>
        <v>--------</v>
      </c>
      <c r="Q81" s="5">
        <f t="shared" si="13"/>
        <v>0</v>
      </c>
      <c r="R81" s="5">
        <f t="shared" si="14"/>
        <v>50</v>
      </c>
      <c r="S81" s="5">
        <f t="shared" si="15"/>
        <v>0</v>
      </c>
      <c r="T81" s="5">
        <f t="shared" si="16"/>
        <v>0</v>
      </c>
      <c r="U81" s="5">
        <f t="shared" si="17"/>
        <v>0</v>
      </c>
      <c r="V81" s="5">
        <f>(IF(AND((O81="OP"),(K81="Child (0-7 years)")),VLOOKUP(($R81*(Q81/1000000)),'OP Values'!$A$1:$Q$35,7),))*E81</f>
        <v>0</v>
      </c>
      <c r="W81" s="5">
        <f>(IF(O81="OP",VLOOKUP(($R81*(F81/1000000)),'OP Values'!$A$1:$Q$35,17),))*E81</f>
        <v>0</v>
      </c>
      <c r="X81" s="5">
        <f>(IF(AND((O81="Pb"),(K81="Child (0-7 years)")),(VLOOKUP(Q81,Pb!$A$2:$AV$103,13)),0))*E81</f>
        <v>0</v>
      </c>
      <c r="Y81" s="5">
        <f>(IF(AND((O81="Pb"),(K81="Child (0-7 years)")),(VLOOKUP(Q81,Pb!$A$2:$AV$103,22)),0))*E81</f>
        <v>0</v>
      </c>
      <c r="Z81" s="5">
        <f>(IF(AND((O81="Pb"),(K81="Adult (&gt; 15 years)")),(VLOOKUP(Q81,Pb!$A$2:$AV$103,48)),0))*E81</f>
        <v>0</v>
      </c>
      <c r="AA81" s="5">
        <f>(IF(AND((O81="Hg"),(K81="Child (0-7 years)")),(VLOOKUP(S81,'Hg Values'!$A$1:$M$30,3)),0))*E81</f>
        <v>0</v>
      </c>
      <c r="AB81" s="5">
        <f>(IF(AND((O81="Hg"),(K81="Child (0-7 years)")),(VLOOKUP(Q81,'Hg Values'!$A$1:$M$30,13)),0))*E81</f>
        <v>0</v>
      </c>
      <c r="AC81" s="5">
        <f>((IF(AND((O81="CA"),(K81="Adult (&gt; 15 years)")),(VLOOKUP(L81,CA_ingestion!A$1:J$78,7,0)),0))*((Q81/1000000)*R81*70))/14</f>
        <v>0</v>
      </c>
      <c r="AD81" s="5">
        <f t="shared" si="18"/>
        <v>0</v>
      </c>
      <c r="AE81" s="5">
        <f>((IF(AND((O81="CA"),(K81="Adult (&gt; 15 years)")),(AD81*(VLOOKUP(L81,CA_ingestion!A$1:J$78,10,0))),0)))</f>
        <v>0</v>
      </c>
      <c r="AF81" s="5">
        <f t="shared" si="19"/>
        <v>0</v>
      </c>
      <c r="AG81" s="5">
        <f t="shared" si="20"/>
        <v>0</v>
      </c>
    </row>
    <row r="82" spans="4:33">
      <c r="D82" s="29" t="s">
        <v>369</v>
      </c>
      <c r="E82" s="35">
        <f>VLOOKUP(D82,'List Data'!$A$100:$B$104,2,0)</f>
        <v>0</v>
      </c>
      <c r="F82" s="30">
        <v>0</v>
      </c>
      <c r="G82" s="30"/>
      <c r="H82" s="30"/>
      <c r="I82" s="5" t="str">
        <f>Summary!C$23</f>
        <v>Afghanistan</v>
      </c>
      <c r="J82" s="30"/>
      <c r="K82" s="30" t="s">
        <v>213</v>
      </c>
      <c r="L82" s="30" t="s">
        <v>213</v>
      </c>
      <c r="M82" s="37">
        <f>T82*Summary!$H$27</f>
        <v>0</v>
      </c>
      <c r="N82" s="37">
        <f>U82*Summary!$H$25</f>
        <v>0</v>
      </c>
      <c r="O82" s="5">
        <f>VLOOKUP(L82,'List Data'!A$2:C$94,3,0)</f>
        <v>0</v>
      </c>
      <c r="P82" s="5" t="str">
        <f>VLOOKUP(L82,'List Data'!A$2:B$94,2,0)</f>
        <v>--------</v>
      </c>
      <c r="Q82" s="5">
        <f t="shared" si="13"/>
        <v>0</v>
      </c>
      <c r="R82" s="5">
        <f t="shared" si="14"/>
        <v>50</v>
      </c>
      <c r="S82" s="5">
        <f t="shared" si="15"/>
        <v>0</v>
      </c>
      <c r="T82" s="5">
        <f t="shared" si="16"/>
        <v>0</v>
      </c>
      <c r="U82" s="5">
        <f t="shared" si="17"/>
        <v>0</v>
      </c>
      <c r="V82" s="5">
        <f>(IF(AND((O82="OP"),(K82="Child (0-7 years)")),VLOOKUP(($R82*(Q82/1000000)),'OP Values'!$A$1:$Q$35,7),))*E82</f>
        <v>0</v>
      </c>
      <c r="W82" s="5">
        <f>(IF(O82="OP",VLOOKUP(($R82*(F82/1000000)),'OP Values'!$A$1:$Q$35,17),))*E82</f>
        <v>0</v>
      </c>
      <c r="X82" s="5">
        <f>(IF(AND((O82="Pb"),(K82="Child (0-7 years)")),(VLOOKUP(Q82,Pb!$A$2:$AV$103,13)),0))*E82</f>
        <v>0</v>
      </c>
      <c r="Y82" s="5">
        <f>(IF(AND((O82="Pb"),(K82="Child (0-7 years)")),(VLOOKUP(Q82,Pb!$A$2:$AV$103,22)),0))*E82</f>
        <v>0</v>
      </c>
      <c r="Z82" s="5">
        <f>(IF(AND((O82="Pb"),(K82="Adult (&gt; 15 years)")),(VLOOKUP(Q82,Pb!$A$2:$AV$103,48)),0))*E82</f>
        <v>0</v>
      </c>
      <c r="AA82" s="5">
        <f>(IF(AND((O82="Hg"),(K82="Child (0-7 years)")),(VLOOKUP(S82,'Hg Values'!$A$1:$M$30,3)),0))*E82</f>
        <v>0</v>
      </c>
      <c r="AB82" s="5">
        <f>(IF(AND((O82="Hg"),(K82="Child (0-7 years)")),(VLOOKUP(Q82,'Hg Values'!$A$1:$M$30,13)),0))*E82</f>
        <v>0</v>
      </c>
      <c r="AC82" s="5">
        <f>((IF(AND((O82="CA"),(K82="Adult (&gt; 15 years)")),(VLOOKUP(L82,CA_ingestion!A$1:J$78,7,0)),0))*((Q82/1000000)*R82*70))/14</f>
        <v>0</v>
      </c>
      <c r="AD82" s="5">
        <f t="shared" si="18"/>
        <v>0</v>
      </c>
      <c r="AE82" s="5">
        <f>((IF(AND((O82="CA"),(K82="Adult (&gt; 15 years)")),(AD82*(VLOOKUP(L82,CA_ingestion!A$1:J$78,10,0))),0)))</f>
        <v>0</v>
      </c>
      <c r="AF82" s="5">
        <f t="shared" si="19"/>
        <v>0</v>
      </c>
      <c r="AG82" s="5">
        <f t="shared" si="20"/>
        <v>0</v>
      </c>
    </row>
    <row r="83" spans="4:33">
      <c r="D83" s="29" t="s">
        <v>369</v>
      </c>
      <c r="E83" s="35">
        <f>VLOOKUP(D83,'List Data'!$A$100:$B$104,2,0)</f>
        <v>0</v>
      </c>
      <c r="F83" s="30">
        <v>0</v>
      </c>
      <c r="G83" s="30"/>
      <c r="H83" s="30"/>
      <c r="I83" s="5" t="str">
        <f>Summary!C$23</f>
        <v>Afghanistan</v>
      </c>
      <c r="J83" s="30"/>
      <c r="K83" s="30" t="s">
        <v>213</v>
      </c>
      <c r="L83" s="30" t="s">
        <v>213</v>
      </c>
      <c r="M83" s="37">
        <f>T83*Summary!$H$27</f>
        <v>0</v>
      </c>
      <c r="N83" s="37">
        <f>U83*Summary!$H$25</f>
        <v>0</v>
      </c>
      <c r="O83" s="5">
        <f>VLOOKUP(L83,'List Data'!A$2:C$94,3,0)</f>
        <v>0</v>
      </c>
      <c r="P83" s="5" t="str">
        <f>VLOOKUP(L83,'List Data'!A$2:B$94,2,0)</f>
        <v>--------</v>
      </c>
      <c r="Q83" s="5">
        <f t="shared" si="13"/>
        <v>0</v>
      </c>
      <c r="R83" s="5">
        <f t="shared" si="14"/>
        <v>50</v>
      </c>
      <c r="S83" s="5">
        <f t="shared" si="15"/>
        <v>0</v>
      </c>
      <c r="T83" s="5">
        <f t="shared" si="16"/>
        <v>0</v>
      </c>
      <c r="U83" s="5">
        <f t="shared" si="17"/>
        <v>0</v>
      </c>
      <c r="V83" s="5">
        <f>(IF(AND((O83="OP"),(K83="Child (0-7 years)")),VLOOKUP(($R83*(Q83/1000000)),'OP Values'!$A$1:$Q$35,7),))*E83</f>
        <v>0</v>
      </c>
      <c r="W83" s="5">
        <f>(IF(O83="OP",VLOOKUP(($R83*(F83/1000000)),'OP Values'!$A$1:$Q$35,17),))*E83</f>
        <v>0</v>
      </c>
      <c r="X83" s="5">
        <f>(IF(AND((O83="Pb"),(K83="Child (0-7 years)")),(VLOOKUP(Q83,Pb!$A$2:$AV$103,13)),0))*E83</f>
        <v>0</v>
      </c>
      <c r="Y83" s="5">
        <f>(IF(AND((O83="Pb"),(K83="Child (0-7 years)")),(VLOOKUP(Q83,Pb!$A$2:$AV$103,22)),0))*E83</f>
        <v>0</v>
      </c>
      <c r="Z83" s="5">
        <f>(IF(AND((O83="Pb"),(K83="Adult (&gt; 15 years)")),(VLOOKUP(Q83,Pb!$A$2:$AV$103,48)),0))*E83</f>
        <v>0</v>
      </c>
      <c r="AA83" s="5">
        <f>(IF(AND((O83="Hg"),(K83="Child (0-7 years)")),(VLOOKUP(S83,'Hg Values'!$A$1:$M$30,3)),0))*E83</f>
        <v>0</v>
      </c>
      <c r="AB83" s="5">
        <f>(IF(AND((O83="Hg"),(K83="Child (0-7 years)")),(VLOOKUP(Q83,'Hg Values'!$A$1:$M$30,13)),0))*E83</f>
        <v>0</v>
      </c>
      <c r="AC83" s="5">
        <f>((IF(AND((O83="CA"),(K83="Adult (&gt; 15 years)")),(VLOOKUP(L83,CA_ingestion!A$1:J$78,7,0)),0))*((Q83/1000000)*R83*70))/14</f>
        <v>0</v>
      </c>
      <c r="AD83" s="5">
        <f t="shared" si="18"/>
        <v>0</v>
      </c>
      <c r="AE83" s="5">
        <f>((IF(AND((O83="CA"),(K83="Adult (&gt; 15 years)")),(AD83*(VLOOKUP(L83,CA_ingestion!A$1:J$78,10,0))),0)))</f>
        <v>0</v>
      </c>
      <c r="AF83" s="5">
        <f t="shared" si="19"/>
        <v>0</v>
      </c>
      <c r="AG83" s="5">
        <f t="shared" si="20"/>
        <v>0</v>
      </c>
    </row>
    <row r="84" spans="4:33">
      <c r="D84" s="29" t="s">
        <v>369</v>
      </c>
      <c r="E84" s="35">
        <f>VLOOKUP(D84,'List Data'!$A$100:$B$104,2,0)</f>
        <v>0</v>
      </c>
      <c r="F84" s="30">
        <v>0</v>
      </c>
      <c r="G84" s="30"/>
      <c r="H84" s="30"/>
      <c r="I84" s="5" t="str">
        <f>Summary!C$23</f>
        <v>Afghanistan</v>
      </c>
      <c r="J84" s="30"/>
      <c r="K84" s="30" t="s">
        <v>213</v>
      </c>
      <c r="L84" s="30" t="s">
        <v>213</v>
      </c>
      <c r="M84" s="37">
        <f>T84*Summary!$H$27</f>
        <v>0</v>
      </c>
      <c r="N84" s="37">
        <f>U84*Summary!$H$25</f>
        <v>0</v>
      </c>
      <c r="O84" s="5">
        <f>VLOOKUP(L84,'List Data'!A$2:C$94,3,0)</f>
        <v>0</v>
      </c>
      <c r="P84" s="5" t="str">
        <f>VLOOKUP(L84,'List Data'!A$2:B$94,2,0)</f>
        <v>--------</v>
      </c>
      <c r="Q84" s="5">
        <f t="shared" si="13"/>
        <v>0</v>
      </c>
      <c r="R84" s="5">
        <f t="shared" si="14"/>
        <v>50</v>
      </c>
      <c r="S84" s="5">
        <f t="shared" si="15"/>
        <v>0</v>
      </c>
      <c r="T84" s="5">
        <f t="shared" si="16"/>
        <v>0</v>
      </c>
      <c r="U84" s="5">
        <f t="shared" si="17"/>
        <v>0</v>
      </c>
      <c r="V84" s="5">
        <f>(IF(AND((O84="OP"),(K84="Child (0-7 years)")),VLOOKUP(($R84*(Q84/1000000)),'OP Values'!$A$1:$Q$35,7),))*E84</f>
        <v>0</v>
      </c>
      <c r="W84" s="5">
        <f>(IF(O84="OP",VLOOKUP(($R84*(F84/1000000)),'OP Values'!$A$1:$Q$35,17),))*E84</f>
        <v>0</v>
      </c>
      <c r="X84" s="5">
        <f>(IF(AND((O84="Pb"),(K84="Child (0-7 years)")),(VLOOKUP(Q84,Pb!$A$2:$AV$103,13)),0))*E84</f>
        <v>0</v>
      </c>
      <c r="Y84" s="5">
        <f>(IF(AND((O84="Pb"),(K84="Child (0-7 years)")),(VLOOKUP(Q84,Pb!$A$2:$AV$103,22)),0))*E84</f>
        <v>0</v>
      </c>
      <c r="Z84" s="5">
        <f>(IF(AND((O84="Pb"),(K84="Adult (&gt; 15 years)")),(VLOOKUP(Q84,Pb!$A$2:$AV$103,48)),0))*E84</f>
        <v>0</v>
      </c>
      <c r="AA84" s="5">
        <f>(IF(AND((O84="Hg"),(K84="Child (0-7 years)")),(VLOOKUP(S84,'Hg Values'!$A$1:$M$30,3)),0))*E84</f>
        <v>0</v>
      </c>
      <c r="AB84" s="5">
        <f>(IF(AND((O84="Hg"),(K84="Child (0-7 years)")),(VLOOKUP(Q84,'Hg Values'!$A$1:$M$30,13)),0))*E84</f>
        <v>0</v>
      </c>
      <c r="AC84" s="5">
        <f>((IF(AND((O84="CA"),(K84="Adult (&gt; 15 years)")),(VLOOKUP(L84,CA_ingestion!A$1:J$78,7,0)),0))*((Q84/1000000)*R84*70))/14</f>
        <v>0</v>
      </c>
      <c r="AD84" s="5">
        <f t="shared" si="18"/>
        <v>0</v>
      </c>
      <c r="AE84" s="5">
        <f>((IF(AND((O84="CA"),(K84="Adult (&gt; 15 years)")),(AD84*(VLOOKUP(L84,CA_ingestion!A$1:J$78,10,0))),0)))</f>
        <v>0</v>
      </c>
      <c r="AF84" s="5">
        <f t="shared" si="19"/>
        <v>0</v>
      </c>
      <c r="AG84" s="5">
        <f t="shared" si="20"/>
        <v>0</v>
      </c>
    </row>
    <row r="85" spans="4:33">
      <c r="D85" s="29" t="s">
        <v>369</v>
      </c>
      <c r="E85" s="35">
        <f>VLOOKUP(D85,'List Data'!$A$100:$B$104,2,0)</f>
        <v>0</v>
      </c>
      <c r="F85" s="30">
        <v>0</v>
      </c>
      <c r="G85" s="30"/>
      <c r="H85" s="30"/>
      <c r="I85" s="5" t="str">
        <f>Summary!C$23</f>
        <v>Afghanistan</v>
      </c>
      <c r="J85" s="30"/>
      <c r="K85" s="30" t="s">
        <v>213</v>
      </c>
      <c r="L85" s="30" t="s">
        <v>213</v>
      </c>
      <c r="M85" s="37">
        <f>T85*Summary!$H$27</f>
        <v>0</v>
      </c>
      <c r="N85" s="37">
        <f>U85*Summary!$H$25</f>
        <v>0</v>
      </c>
      <c r="O85" s="5">
        <f>VLOOKUP(L85,'List Data'!A$2:C$94,3,0)</f>
        <v>0</v>
      </c>
      <c r="P85" s="5" t="str">
        <f>VLOOKUP(L85,'List Data'!A$2:B$94,2,0)</f>
        <v>--------</v>
      </c>
      <c r="Q85" s="5">
        <f t="shared" si="13"/>
        <v>0</v>
      </c>
      <c r="R85" s="5">
        <f t="shared" si="14"/>
        <v>50</v>
      </c>
      <c r="S85" s="5">
        <f t="shared" si="15"/>
        <v>0</v>
      </c>
      <c r="T85" s="5">
        <f t="shared" si="16"/>
        <v>0</v>
      </c>
      <c r="U85" s="5">
        <f t="shared" si="17"/>
        <v>0</v>
      </c>
      <c r="V85" s="5">
        <f>(IF(AND((O85="OP"),(K85="Child (0-7 years)")),VLOOKUP(($R85*(Q85/1000000)),'OP Values'!$A$1:$Q$35,7),))*E85</f>
        <v>0</v>
      </c>
      <c r="W85" s="5">
        <f>(IF(O85="OP",VLOOKUP(($R85*(F85/1000000)),'OP Values'!$A$1:$Q$35,17),))*E85</f>
        <v>0</v>
      </c>
      <c r="X85" s="5">
        <f>(IF(AND((O85="Pb"),(K85="Child (0-7 years)")),(VLOOKUP(Q85,Pb!$A$2:$AV$103,13)),0))*E85</f>
        <v>0</v>
      </c>
      <c r="Y85" s="5">
        <f>(IF(AND((O85="Pb"),(K85="Child (0-7 years)")),(VLOOKUP(Q85,Pb!$A$2:$AV$103,22)),0))*E85</f>
        <v>0</v>
      </c>
      <c r="Z85" s="5">
        <f>(IF(AND((O85="Pb"),(K85="Adult (&gt; 15 years)")),(VLOOKUP(Q85,Pb!$A$2:$AV$103,48)),0))*E85</f>
        <v>0</v>
      </c>
      <c r="AA85" s="5">
        <f>(IF(AND((O85="Hg"),(K85="Child (0-7 years)")),(VLOOKUP(S85,'Hg Values'!$A$1:$M$30,3)),0))*E85</f>
        <v>0</v>
      </c>
      <c r="AB85" s="5">
        <f>(IF(AND((O85="Hg"),(K85="Child (0-7 years)")),(VLOOKUP(Q85,'Hg Values'!$A$1:$M$30,13)),0))*E85</f>
        <v>0</v>
      </c>
      <c r="AC85" s="5">
        <f>((IF(AND((O85="CA"),(K85="Adult (&gt; 15 years)")),(VLOOKUP(L85,CA_ingestion!A$1:J$78,7,0)),0))*((Q85/1000000)*R85*70))/14</f>
        <v>0</v>
      </c>
      <c r="AD85" s="5">
        <f t="shared" si="18"/>
        <v>0</v>
      </c>
      <c r="AE85" s="5">
        <f>((IF(AND((O85="CA"),(K85="Adult (&gt; 15 years)")),(AD85*(VLOOKUP(L85,CA_ingestion!A$1:J$78,10,0))),0)))</f>
        <v>0</v>
      </c>
      <c r="AF85" s="5">
        <f t="shared" si="19"/>
        <v>0</v>
      </c>
      <c r="AG85" s="5">
        <f t="shared" si="20"/>
        <v>0</v>
      </c>
    </row>
    <row r="86" spans="4:33">
      <c r="D86" s="29" t="s">
        <v>369</v>
      </c>
      <c r="E86" s="35">
        <f>VLOOKUP(D86,'List Data'!$A$100:$B$104,2,0)</f>
        <v>0</v>
      </c>
      <c r="F86" s="30">
        <v>0</v>
      </c>
      <c r="G86" s="30"/>
      <c r="H86" s="30"/>
      <c r="I86" s="5" t="str">
        <f>Summary!C$23</f>
        <v>Afghanistan</v>
      </c>
      <c r="J86" s="30"/>
      <c r="K86" s="30" t="s">
        <v>213</v>
      </c>
      <c r="L86" s="30" t="s">
        <v>213</v>
      </c>
      <c r="M86" s="37">
        <f>T86*Summary!$H$27</f>
        <v>0</v>
      </c>
      <c r="N86" s="37">
        <f>U86*Summary!$H$25</f>
        <v>0</v>
      </c>
      <c r="O86" s="5">
        <f>VLOOKUP(L86,'List Data'!A$2:C$94,3,0)</f>
        <v>0</v>
      </c>
      <c r="P86" s="5" t="str">
        <f>VLOOKUP(L86,'List Data'!A$2:B$94,2,0)</f>
        <v>--------</v>
      </c>
      <c r="Q86" s="5">
        <f t="shared" si="13"/>
        <v>0</v>
      </c>
      <c r="R86" s="5">
        <f t="shared" si="14"/>
        <v>50</v>
      </c>
      <c r="S86" s="5">
        <f t="shared" si="15"/>
        <v>0</v>
      </c>
      <c r="T86" s="5">
        <f t="shared" si="16"/>
        <v>0</v>
      </c>
      <c r="U86" s="5">
        <f t="shared" si="17"/>
        <v>0</v>
      </c>
      <c r="V86" s="5">
        <f>(IF(AND((O86="OP"),(K86="Child (0-7 years)")),VLOOKUP(($R86*(Q86/1000000)),'OP Values'!$A$1:$Q$35,7),))*E86</f>
        <v>0</v>
      </c>
      <c r="W86" s="5">
        <f>(IF(O86="OP",VLOOKUP(($R86*(F86/1000000)),'OP Values'!$A$1:$Q$35,17),))*E86</f>
        <v>0</v>
      </c>
      <c r="X86" s="5">
        <f>(IF(AND((O86="Pb"),(K86="Child (0-7 years)")),(VLOOKUP(Q86,Pb!$A$2:$AV$103,13)),0))*E86</f>
        <v>0</v>
      </c>
      <c r="Y86" s="5">
        <f>(IF(AND((O86="Pb"),(K86="Child (0-7 years)")),(VLOOKUP(Q86,Pb!$A$2:$AV$103,22)),0))*E86</f>
        <v>0</v>
      </c>
      <c r="Z86" s="5">
        <f>(IF(AND((O86="Pb"),(K86="Adult (&gt; 15 years)")),(VLOOKUP(Q86,Pb!$A$2:$AV$103,48)),0))*E86</f>
        <v>0</v>
      </c>
      <c r="AA86" s="5">
        <f>(IF(AND((O86="Hg"),(K86="Child (0-7 years)")),(VLOOKUP(S86,'Hg Values'!$A$1:$M$30,3)),0))*E86</f>
        <v>0</v>
      </c>
      <c r="AB86" s="5">
        <f>(IF(AND((O86="Hg"),(K86="Child (0-7 years)")),(VLOOKUP(Q86,'Hg Values'!$A$1:$M$30,13)),0))*E86</f>
        <v>0</v>
      </c>
      <c r="AC86" s="5">
        <f>((IF(AND((O86="CA"),(K86="Adult (&gt; 15 years)")),(VLOOKUP(L86,CA_ingestion!A$1:J$78,7,0)),0))*((Q86/1000000)*R86*70))/14</f>
        <v>0</v>
      </c>
      <c r="AD86" s="5">
        <f t="shared" si="18"/>
        <v>0</v>
      </c>
      <c r="AE86" s="5">
        <f>((IF(AND((O86="CA"),(K86="Adult (&gt; 15 years)")),(AD86*(VLOOKUP(L86,CA_ingestion!A$1:J$78,10,0))),0)))</f>
        <v>0</v>
      </c>
      <c r="AF86" s="5">
        <f t="shared" si="19"/>
        <v>0</v>
      </c>
      <c r="AG86" s="5">
        <f t="shared" si="20"/>
        <v>0</v>
      </c>
    </row>
    <row r="87" spans="4:33">
      <c r="D87" s="29" t="s">
        <v>369</v>
      </c>
      <c r="E87" s="35">
        <f>VLOOKUP(D87,'List Data'!$A$100:$B$104,2,0)</f>
        <v>0</v>
      </c>
      <c r="F87" s="30">
        <v>0</v>
      </c>
      <c r="G87" s="30"/>
      <c r="H87" s="30"/>
      <c r="I87" s="5" t="str">
        <f>Summary!C$23</f>
        <v>Afghanistan</v>
      </c>
      <c r="J87" s="30"/>
      <c r="K87" s="30" t="s">
        <v>213</v>
      </c>
      <c r="L87" s="30" t="s">
        <v>213</v>
      </c>
      <c r="M87" s="37">
        <f>T87*Summary!$H$27</f>
        <v>0</v>
      </c>
      <c r="N87" s="37">
        <f>U87*Summary!$H$25</f>
        <v>0</v>
      </c>
      <c r="O87" s="5">
        <f>VLOOKUP(L87,'List Data'!A$2:C$94,3,0)</f>
        <v>0</v>
      </c>
      <c r="P87" s="5" t="str">
        <f>VLOOKUP(L87,'List Data'!A$2:B$94,2,0)</f>
        <v>--------</v>
      </c>
      <c r="Q87" s="5">
        <f t="shared" si="13"/>
        <v>0</v>
      </c>
      <c r="R87" s="5">
        <f t="shared" si="14"/>
        <v>50</v>
      </c>
      <c r="S87" s="5">
        <f t="shared" si="15"/>
        <v>0</v>
      </c>
      <c r="T87" s="5">
        <f t="shared" si="16"/>
        <v>0</v>
      </c>
      <c r="U87" s="5">
        <f t="shared" si="17"/>
        <v>0</v>
      </c>
      <c r="V87" s="5">
        <f>(IF(AND((O87="OP"),(K87="Child (0-7 years)")),VLOOKUP(($R87*(Q87/1000000)),'OP Values'!$A$1:$Q$35,7),))*E87</f>
        <v>0</v>
      </c>
      <c r="W87" s="5">
        <f>(IF(O87="OP",VLOOKUP(($R87*(F87/1000000)),'OP Values'!$A$1:$Q$35,17),))*E87</f>
        <v>0</v>
      </c>
      <c r="X87" s="5">
        <f>(IF(AND((O87="Pb"),(K87="Child (0-7 years)")),(VLOOKUP(Q87,Pb!$A$2:$AV$103,13)),0))*E87</f>
        <v>0</v>
      </c>
      <c r="Y87" s="5">
        <f>(IF(AND((O87="Pb"),(K87="Child (0-7 years)")),(VLOOKUP(Q87,Pb!$A$2:$AV$103,22)),0))*E87</f>
        <v>0</v>
      </c>
      <c r="Z87" s="5">
        <f>(IF(AND((O87="Pb"),(K87="Adult (&gt; 15 years)")),(VLOOKUP(Q87,Pb!$A$2:$AV$103,48)),0))*E87</f>
        <v>0</v>
      </c>
      <c r="AA87" s="5">
        <f>(IF(AND((O87="Hg"),(K87="Child (0-7 years)")),(VLOOKUP(S87,'Hg Values'!$A$1:$M$30,3)),0))*E87</f>
        <v>0</v>
      </c>
      <c r="AB87" s="5">
        <f>(IF(AND((O87="Hg"),(K87="Child (0-7 years)")),(VLOOKUP(Q87,'Hg Values'!$A$1:$M$30,13)),0))*E87</f>
        <v>0</v>
      </c>
      <c r="AC87" s="5">
        <f>((IF(AND((O87="CA"),(K87="Adult (&gt; 15 years)")),(VLOOKUP(L87,CA_ingestion!A$1:J$78,7,0)),0))*((Q87/1000000)*R87*70))/14</f>
        <v>0</v>
      </c>
      <c r="AD87" s="5">
        <f t="shared" si="18"/>
        <v>0</v>
      </c>
      <c r="AE87" s="5">
        <f>((IF(AND((O87="CA"),(K87="Adult (&gt; 15 years)")),(AD87*(VLOOKUP(L87,CA_ingestion!A$1:J$78,10,0))),0)))</f>
        <v>0</v>
      </c>
      <c r="AF87" s="5">
        <f t="shared" si="19"/>
        <v>0</v>
      </c>
      <c r="AG87" s="5">
        <f t="shared" si="20"/>
        <v>0</v>
      </c>
    </row>
    <row r="88" spans="4:33">
      <c r="D88" s="29" t="s">
        <v>369</v>
      </c>
      <c r="E88" s="35">
        <f>VLOOKUP(D88,'List Data'!$A$100:$B$104,2,0)</f>
        <v>0</v>
      </c>
      <c r="F88" s="30">
        <v>0</v>
      </c>
      <c r="G88" s="30"/>
      <c r="H88" s="30"/>
      <c r="I88" s="5" t="str">
        <f>Summary!C$23</f>
        <v>Afghanistan</v>
      </c>
      <c r="J88" s="30"/>
      <c r="K88" s="30" t="s">
        <v>213</v>
      </c>
      <c r="L88" s="30" t="s">
        <v>213</v>
      </c>
      <c r="M88" s="37">
        <f>T88*Summary!$H$27</f>
        <v>0</v>
      </c>
      <c r="N88" s="37">
        <f>U88*Summary!$H$25</f>
        <v>0</v>
      </c>
      <c r="O88" s="5">
        <f>VLOOKUP(L88,'List Data'!A$2:C$94,3,0)</f>
        <v>0</v>
      </c>
      <c r="P88" s="5" t="str">
        <f>VLOOKUP(L88,'List Data'!A$2:B$94,2,0)</f>
        <v>--------</v>
      </c>
      <c r="Q88" s="5">
        <f t="shared" si="13"/>
        <v>0</v>
      </c>
      <c r="R88" s="5">
        <f t="shared" si="14"/>
        <v>50</v>
      </c>
      <c r="S88" s="5">
        <f t="shared" si="15"/>
        <v>0</v>
      </c>
      <c r="T88" s="5">
        <f t="shared" si="16"/>
        <v>0</v>
      </c>
      <c r="U88" s="5">
        <f t="shared" si="17"/>
        <v>0</v>
      </c>
      <c r="V88" s="5">
        <f>(IF(AND((O88="OP"),(K88="Child (0-7 years)")),VLOOKUP(($R88*(Q88/1000000)),'OP Values'!$A$1:$Q$35,7),))*E88</f>
        <v>0</v>
      </c>
      <c r="W88" s="5">
        <f>(IF(O88="OP",VLOOKUP(($R88*(F88/1000000)),'OP Values'!$A$1:$Q$35,17),))*E88</f>
        <v>0</v>
      </c>
      <c r="X88" s="5">
        <f>(IF(AND((O88="Pb"),(K88="Child (0-7 years)")),(VLOOKUP(Q88,Pb!$A$2:$AV$103,13)),0))*E88</f>
        <v>0</v>
      </c>
      <c r="Y88" s="5">
        <f>(IF(AND((O88="Pb"),(K88="Child (0-7 years)")),(VLOOKUP(Q88,Pb!$A$2:$AV$103,22)),0))*E88</f>
        <v>0</v>
      </c>
      <c r="Z88" s="5">
        <f>(IF(AND((O88="Pb"),(K88="Adult (&gt; 15 years)")),(VLOOKUP(Q88,Pb!$A$2:$AV$103,48)),0))*E88</f>
        <v>0</v>
      </c>
      <c r="AA88" s="5">
        <f>(IF(AND((O88="Hg"),(K88="Child (0-7 years)")),(VLOOKUP(S88,'Hg Values'!$A$1:$M$30,3)),0))*E88</f>
        <v>0</v>
      </c>
      <c r="AB88" s="5">
        <f>(IF(AND((O88="Hg"),(K88="Child (0-7 years)")),(VLOOKUP(Q88,'Hg Values'!$A$1:$M$30,13)),0))*E88</f>
        <v>0</v>
      </c>
      <c r="AC88" s="5">
        <f>((IF(AND((O88="CA"),(K88="Adult (&gt; 15 years)")),(VLOOKUP(L88,CA_ingestion!A$1:J$78,7,0)),0))*((Q88/1000000)*R88*70))/14</f>
        <v>0</v>
      </c>
      <c r="AD88" s="5">
        <f t="shared" si="18"/>
        <v>0</v>
      </c>
      <c r="AE88" s="5">
        <f>((IF(AND((O88="CA"),(K88="Adult (&gt; 15 years)")),(AD88*(VLOOKUP(L88,CA_ingestion!A$1:J$78,10,0))),0)))</f>
        <v>0</v>
      </c>
      <c r="AF88" s="5">
        <f t="shared" si="19"/>
        <v>0</v>
      </c>
      <c r="AG88" s="5">
        <f t="shared" si="20"/>
        <v>0</v>
      </c>
    </row>
    <row r="89" spans="4:33">
      <c r="D89" s="29" t="s">
        <v>369</v>
      </c>
      <c r="E89" s="35">
        <f>VLOOKUP(D89,'List Data'!$A$100:$B$104,2,0)</f>
        <v>0</v>
      </c>
      <c r="F89" s="30">
        <v>0</v>
      </c>
      <c r="G89" s="30"/>
      <c r="H89" s="30"/>
      <c r="I89" s="5" t="str">
        <f>Summary!C$23</f>
        <v>Afghanistan</v>
      </c>
      <c r="J89" s="30"/>
      <c r="K89" s="30" t="s">
        <v>213</v>
      </c>
      <c r="L89" s="30" t="s">
        <v>213</v>
      </c>
      <c r="M89" s="37">
        <f>T89*Summary!$H$27</f>
        <v>0</v>
      </c>
      <c r="N89" s="37">
        <f>U89*Summary!$H$25</f>
        <v>0</v>
      </c>
      <c r="O89" s="5">
        <f>VLOOKUP(L89,'List Data'!A$2:C$94,3,0)</f>
        <v>0</v>
      </c>
      <c r="P89" s="5" t="str">
        <f>VLOOKUP(L89,'List Data'!A$2:B$94,2,0)</f>
        <v>--------</v>
      </c>
      <c r="Q89" s="5">
        <f t="shared" si="13"/>
        <v>0</v>
      </c>
      <c r="R89" s="5">
        <f t="shared" si="14"/>
        <v>50</v>
      </c>
      <c r="S89" s="5">
        <f t="shared" si="15"/>
        <v>0</v>
      </c>
      <c r="T89" s="5">
        <f t="shared" si="16"/>
        <v>0</v>
      </c>
      <c r="U89" s="5">
        <f t="shared" si="17"/>
        <v>0</v>
      </c>
      <c r="V89" s="5">
        <f>(IF(AND((O89="OP"),(K89="Child (0-7 years)")),VLOOKUP(($R89*(Q89/1000000)),'OP Values'!$A$1:$Q$35,7),))*E89</f>
        <v>0</v>
      </c>
      <c r="W89" s="5">
        <f>(IF(O89="OP",VLOOKUP(($R89*(F89/1000000)),'OP Values'!$A$1:$Q$35,17),))*E89</f>
        <v>0</v>
      </c>
      <c r="X89" s="5">
        <f>(IF(AND((O89="Pb"),(K89="Child (0-7 years)")),(VLOOKUP(Q89,Pb!$A$2:$AV$103,13)),0))*E89</f>
        <v>0</v>
      </c>
      <c r="Y89" s="5">
        <f>(IF(AND((O89="Pb"),(K89="Child (0-7 years)")),(VLOOKUP(Q89,Pb!$A$2:$AV$103,22)),0))*E89</f>
        <v>0</v>
      </c>
      <c r="Z89" s="5">
        <f>(IF(AND((O89="Pb"),(K89="Adult (&gt; 15 years)")),(VLOOKUP(Q89,Pb!$A$2:$AV$103,48)),0))*E89</f>
        <v>0</v>
      </c>
      <c r="AA89" s="5">
        <f>(IF(AND((O89="Hg"),(K89="Child (0-7 years)")),(VLOOKUP(S89,'Hg Values'!$A$1:$M$30,3)),0))*E89</f>
        <v>0</v>
      </c>
      <c r="AB89" s="5">
        <f>(IF(AND((O89="Hg"),(K89="Child (0-7 years)")),(VLOOKUP(Q89,'Hg Values'!$A$1:$M$30,13)),0))*E89</f>
        <v>0</v>
      </c>
      <c r="AC89" s="5">
        <f>((IF(AND((O89="CA"),(K89="Adult (&gt; 15 years)")),(VLOOKUP(L89,CA_ingestion!A$1:J$78,7,0)),0))*((Q89/1000000)*R89*70))/14</f>
        <v>0</v>
      </c>
      <c r="AD89" s="5">
        <f t="shared" si="18"/>
        <v>0</v>
      </c>
      <c r="AE89" s="5">
        <f>((IF(AND((O89="CA"),(K89="Adult (&gt; 15 years)")),(AD89*(VLOOKUP(L89,CA_ingestion!A$1:J$78,10,0))),0)))</f>
        <v>0</v>
      </c>
      <c r="AF89" s="5">
        <f t="shared" si="19"/>
        <v>0</v>
      </c>
      <c r="AG89" s="5">
        <f t="shared" si="20"/>
        <v>0</v>
      </c>
    </row>
    <row r="90" spans="4:33">
      <c r="D90" s="29" t="s">
        <v>369</v>
      </c>
      <c r="E90" s="35">
        <f>VLOOKUP(D90,'List Data'!$A$100:$B$104,2,0)</f>
        <v>0</v>
      </c>
      <c r="F90" s="30">
        <v>0</v>
      </c>
      <c r="G90" s="30"/>
      <c r="H90" s="30"/>
      <c r="I90" s="5" t="str">
        <f>Summary!C$23</f>
        <v>Afghanistan</v>
      </c>
      <c r="J90" s="30"/>
      <c r="K90" s="30" t="s">
        <v>213</v>
      </c>
      <c r="L90" s="30" t="s">
        <v>213</v>
      </c>
      <c r="M90" s="37">
        <f>T90*Summary!$H$27</f>
        <v>0</v>
      </c>
      <c r="N90" s="37">
        <f>U90*Summary!$H$25</f>
        <v>0</v>
      </c>
      <c r="O90" s="5">
        <f>VLOOKUP(L90,'List Data'!A$2:C$94,3,0)</f>
        <v>0</v>
      </c>
      <c r="P90" s="5" t="str">
        <f>VLOOKUP(L90,'List Data'!A$2:B$94,2,0)</f>
        <v>--------</v>
      </c>
      <c r="Q90" s="5">
        <f t="shared" si="13"/>
        <v>0</v>
      </c>
      <c r="R90" s="5">
        <f t="shared" si="14"/>
        <v>50</v>
      </c>
      <c r="S90" s="5">
        <f t="shared" si="15"/>
        <v>0</v>
      </c>
      <c r="T90" s="5">
        <f t="shared" si="16"/>
        <v>0</v>
      </c>
      <c r="U90" s="5">
        <f t="shared" si="17"/>
        <v>0</v>
      </c>
      <c r="V90" s="5">
        <f>(IF(AND((O90="OP"),(K90="Child (0-7 years)")),VLOOKUP(($R90*(Q90/1000000)),'OP Values'!$A$1:$Q$35,7),))*E90</f>
        <v>0</v>
      </c>
      <c r="W90" s="5">
        <f>(IF(O90="OP",VLOOKUP(($R90*(F90/1000000)),'OP Values'!$A$1:$Q$35,17),))*E90</f>
        <v>0</v>
      </c>
      <c r="X90" s="5">
        <f>(IF(AND((O90="Pb"),(K90="Child (0-7 years)")),(VLOOKUP(Q90,Pb!$A$2:$AV$103,13)),0))*E90</f>
        <v>0</v>
      </c>
      <c r="Y90" s="5">
        <f>(IF(AND((O90="Pb"),(K90="Child (0-7 years)")),(VLOOKUP(Q90,Pb!$A$2:$AV$103,22)),0))*E90</f>
        <v>0</v>
      </c>
      <c r="Z90" s="5">
        <f>(IF(AND((O90="Pb"),(K90="Adult (&gt; 15 years)")),(VLOOKUP(Q90,Pb!$A$2:$AV$103,48)),0))*E90</f>
        <v>0</v>
      </c>
      <c r="AA90" s="5">
        <f>(IF(AND((O90="Hg"),(K90="Child (0-7 years)")),(VLOOKUP(S90,'Hg Values'!$A$1:$M$30,3)),0))*E90</f>
        <v>0</v>
      </c>
      <c r="AB90" s="5">
        <f>(IF(AND((O90="Hg"),(K90="Child (0-7 years)")),(VLOOKUP(Q90,'Hg Values'!$A$1:$M$30,13)),0))*E90</f>
        <v>0</v>
      </c>
      <c r="AC90" s="5">
        <f>((IF(AND((O90="CA"),(K90="Adult (&gt; 15 years)")),(VLOOKUP(L90,CA_ingestion!A$1:J$78,7,0)),0))*((Q90/1000000)*R90*70))/14</f>
        <v>0</v>
      </c>
      <c r="AD90" s="5">
        <f t="shared" si="18"/>
        <v>0</v>
      </c>
      <c r="AE90" s="5">
        <f>((IF(AND((O90="CA"),(K90="Adult (&gt; 15 years)")),(AD90*(VLOOKUP(L90,CA_ingestion!A$1:J$78,10,0))),0)))</f>
        <v>0</v>
      </c>
      <c r="AF90" s="5">
        <f t="shared" si="19"/>
        <v>0</v>
      </c>
      <c r="AG90" s="5">
        <f t="shared" si="20"/>
        <v>0</v>
      </c>
    </row>
    <row r="91" spans="4:33">
      <c r="D91" s="29" t="s">
        <v>369</v>
      </c>
      <c r="E91" s="35">
        <f>VLOOKUP(D91,'List Data'!$A$100:$B$104,2,0)</f>
        <v>0</v>
      </c>
      <c r="F91" s="30">
        <v>0</v>
      </c>
      <c r="G91" s="30"/>
      <c r="H91" s="30"/>
      <c r="I91" s="5" t="str">
        <f>Summary!C$23</f>
        <v>Afghanistan</v>
      </c>
      <c r="J91" s="30"/>
      <c r="K91" s="30" t="s">
        <v>213</v>
      </c>
      <c r="L91" s="30" t="s">
        <v>213</v>
      </c>
      <c r="M91" s="37">
        <f>T91*Summary!$H$27</f>
        <v>0</v>
      </c>
      <c r="N91" s="37">
        <f>U91*Summary!$H$25</f>
        <v>0</v>
      </c>
      <c r="O91" s="5">
        <f>VLOOKUP(L91,'List Data'!A$2:C$94,3,0)</f>
        <v>0</v>
      </c>
      <c r="P91" s="5" t="str">
        <f>VLOOKUP(L91,'List Data'!A$2:B$94,2,0)</f>
        <v>--------</v>
      </c>
      <c r="Q91" s="5">
        <f t="shared" si="13"/>
        <v>0</v>
      </c>
      <c r="R91" s="5">
        <f t="shared" si="14"/>
        <v>50</v>
      </c>
      <c r="S91" s="5">
        <f t="shared" si="15"/>
        <v>0</v>
      </c>
      <c r="T91" s="5">
        <f t="shared" si="16"/>
        <v>0</v>
      </c>
      <c r="U91" s="5">
        <f t="shared" si="17"/>
        <v>0</v>
      </c>
      <c r="V91" s="5">
        <f>(IF(AND((O91="OP"),(K91="Child (0-7 years)")),VLOOKUP(($R91*(Q91/1000000)),'OP Values'!$A$1:$Q$35,7),))*E91</f>
        <v>0</v>
      </c>
      <c r="W91" s="5">
        <f>(IF(O91="OP",VLOOKUP(($R91*(F91/1000000)),'OP Values'!$A$1:$Q$35,17),))*E91</f>
        <v>0</v>
      </c>
      <c r="X91" s="5">
        <f>(IF(AND((O91="Pb"),(K91="Child (0-7 years)")),(VLOOKUP(Q91,Pb!$A$2:$AV$103,13)),0))*E91</f>
        <v>0</v>
      </c>
      <c r="Y91" s="5">
        <f>(IF(AND((O91="Pb"),(K91="Child (0-7 years)")),(VLOOKUP(Q91,Pb!$A$2:$AV$103,22)),0))*E91</f>
        <v>0</v>
      </c>
      <c r="Z91" s="5">
        <f>(IF(AND((O91="Pb"),(K91="Adult (&gt; 15 years)")),(VLOOKUP(Q91,Pb!$A$2:$AV$103,48)),0))*E91</f>
        <v>0</v>
      </c>
      <c r="AA91" s="5">
        <f>(IF(AND((O91="Hg"),(K91="Child (0-7 years)")),(VLOOKUP(S91,'Hg Values'!$A$1:$M$30,3)),0))*E91</f>
        <v>0</v>
      </c>
      <c r="AB91" s="5">
        <f>(IF(AND((O91="Hg"),(K91="Child (0-7 years)")),(VLOOKUP(Q91,'Hg Values'!$A$1:$M$30,13)),0))*E91</f>
        <v>0</v>
      </c>
      <c r="AC91" s="5">
        <f>((IF(AND((O91="CA"),(K91="Adult (&gt; 15 years)")),(VLOOKUP(L91,CA_ingestion!A$1:J$78,7,0)),0))*((Q91/1000000)*R91*70))/14</f>
        <v>0</v>
      </c>
      <c r="AD91" s="5">
        <f t="shared" si="18"/>
        <v>0</v>
      </c>
      <c r="AE91" s="5">
        <f>((IF(AND((O91="CA"),(K91="Adult (&gt; 15 years)")),(AD91*(VLOOKUP(L91,CA_ingestion!A$1:J$78,10,0))),0)))</f>
        <v>0</v>
      </c>
      <c r="AF91" s="5">
        <f t="shared" si="19"/>
        <v>0</v>
      </c>
      <c r="AG91" s="5">
        <f t="shared" si="20"/>
        <v>0</v>
      </c>
    </row>
    <row r="92" spans="4:33">
      <c r="D92" s="29" t="s">
        <v>369</v>
      </c>
      <c r="E92" s="35">
        <f>VLOOKUP(D92,'List Data'!$A$100:$B$104,2,0)</f>
        <v>0</v>
      </c>
      <c r="F92" s="30">
        <v>0</v>
      </c>
      <c r="G92" s="30"/>
      <c r="H92" s="30"/>
      <c r="I92" s="5" t="str">
        <f>Summary!C$23</f>
        <v>Afghanistan</v>
      </c>
      <c r="J92" s="30"/>
      <c r="K92" s="30" t="s">
        <v>213</v>
      </c>
      <c r="L92" s="30" t="s">
        <v>213</v>
      </c>
      <c r="M92" s="37">
        <f>T92*Summary!$H$27</f>
        <v>0</v>
      </c>
      <c r="N92" s="37">
        <f>U92*Summary!$H$25</f>
        <v>0</v>
      </c>
      <c r="O92" s="5">
        <f>VLOOKUP(L92,'List Data'!A$2:C$94,3,0)</f>
        <v>0</v>
      </c>
      <c r="P92" s="5" t="str">
        <f>VLOOKUP(L92,'List Data'!A$2:B$94,2,0)</f>
        <v>--------</v>
      </c>
      <c r="Q92" s="5">
        <f t="shared" si="13"/>
        <v>0</v>
      </c>
      <c r="R92" s="5">
        <f t="shared" si="14"/>
        <v>50</v>
      </c>
      <c r="S92" s="5">
        <f t="shared" si="15"/>
        <v>0</v>
      </c>
      <c r="T92" s="5">
        <f t="shared" si="16"/>
        <v>0</v>
      </c>
      <c r="U92" s="5">
        <f t="shared" si="17"/>
        <v>0</v>
      </c>
      <c r="V92" s="5">
        <f>(IF(AND((O92="OP"),(K92="Child (0-7 years)")),VLOOKUP(($R92*(Q92/1000000)),'OP Values'!$A$1:$Q$35,7),))*E92</f>
        <v>0</v>
      </c>
      <c r="W92" s="5">
        <f>(IF(O92="OP",VLOOKUP(($R92*(F92/1000000)),'OP Values'!$A$1:$Q$35,17),))*E92</f>
        <v>0</v>
      </c>
      <c r="X92" s="5">
        <f>(IF(AND((O92="Pb"),(K92="Child (0-7 years)")),(VLOOKUP(Q92,Pb!$A$2:$AV$103,13)),0))*E92</f>
        <v>0</v>
      </c>
      <c r="Y92" s="5">
        <f>(IF(AND((O92="Pb"),(K92="Child (0-7 years)")),(VLOOKUP(Q92,Pb!$A$2:$AV$103,22)),0))*E92</f>
        <v>0</v>
      </c>
      <c r="Z92" s="5">
        <f>(IF(AND((O92="Pb"),(K92="Adult (&gt; 15 years)")),(VLOOKUP(Q92,Pb!$A$2:$AV$103,48)),0))*E92</f>
        <v>0</v>
      </c>
      <c r="AA92" s="5">
        <f>(IF(AND((O92="Hg"),(K92="Child (0-7 years)")),(VLOOKUP(S92,'Hg Values'!$A$1:$M$30,3)),0))*E92</f>
        <v>0</v>
      </c>
      <c r="AB92" s="5">
        <f>(IF(AND((O92="Hg"),(K92="Child (0-7 years)")),(VLOOKUP(Q92,'Hg Values'!$A$1:$M$30,13)),0))*E92</f>
        <v>0</v>
      </c>
      <c r="AC92" s="5">
        <f>((IF(AND((O92="CA"),(K92="Adult (&gt; 15 years)")),(VLOOKUP(L92,CA_ingestion!A$1:J$78,7,0)),0))*((Q92/1000000)*R92*70))/14</f>
        <v>0</v>
      </c>
      <c r="AD92" s="5">
        <f t="shared" si="18"/>
        <v>0</v>
      </c>
      <c r="AE92" s="5">
        <f>((IF(AND((O92="CA"),(K92="Adult (&gt; 15 years)")),(AD92*(VLOOKUP(L92,CA_ingestion!A$1:J$78,10,0))),0)))</f>
        <v>0</v>
      </c>
      <c r="AF92" s="5">
        <f t="shared" si="19"/>
        <v>0</v>
      </c>
      <c r="AG92" s="5">
        <f t="shared" si="20"/>
        <v>0</v>
      </c>
    </row>
    <row r="93" spans="4:33">
      <c r="D93" s="29" t="s">
        <v>369</v>
      </c>
      <c r="E93" s="35">
        <f>VLOOKUP(D93,'List Data'!$A$100:$B$104,2,0)</f>
        <v>0</v>
      </c>
      <c r="F93" s="30">
        <v>0</v>
      </c>
      <c r="G93" s="30"/>
      <c r="H93" s="30"/>
      <c r="I93" s="5" t="str">
        <f>Summary!C$23</f>
        <v>Afghanistan</v>
      </c>
      <c r="J93" s="30"/>
      <c r="K93" s="30" t="s">
        <v>213</v>
      </c>
      <c r="L93" s="30" t="s">
        <v>213</v>
      </c>
      <c r="M93" s="37">
        <f>T93*Summary!$H$27</f>
        <v>0</v>
      </c>
      <c r="N93" s="37">
        <f>U93*Summary!$H$25</f>
        <v>0</v>
      </c>
      <c r="O93" s="5">
        <f>VLOOKUP(L93,'List Data'!A$2:C$94,3,0)</f>
        <v>0</v>
      </c>
      <c r="P93" s="5" t="str">
        <f>VLOOKUP(L93,'List Data'!A$2:B$94,2,0)</f>
        <v>--------</v>
      </c>
      <c r="Q93" s="5">
        <f t="shared" si="13"/>
        <v>0</v>
      </c>
      <c r="R93" s="5">
        <f t="shared" si="14"/>
        <v>50</v>
      </c>
      <c r="S93" s="5">
        <f t="shared" si="15"/>
        <v>0</v>
      </c>
      <c r="T93" s="5">
        <f t="shared" si="16"/>
        <v>0</v>
      </c>
      <c r="U93" s="5">
        <f t="shared" si="17"/>
        <v>0</v>
      </c>
      <c r="V93" s="5">
        <f>(IF(AND((O93="OP"),(K93="Child (0-7 years)")),VLOOKUP(($R93*(Q93/1000000)),'OP Values'!$A$1:$Q$35,7),))*E93</f>
        <v>0</v>
      </c>
      <c r="W93" s="5">
        <f>(IF(O93="OP",VLOOKUP(($R93*(F93/1000000)),'OP Values'!$A$1:$Q$35,17),))*E93</f>
        <v>0</v>
      </c>
      <c r="X93" s="5">
        <f>(IF(AND((O93="Pb"),(K93="Child (0-7 years)")),(VLOOKUP(Q93,Pb!$A$2:$AV$103,13)),0))*E93</f>
        <v>0</v>
      </c>
      <c r="Y93" s="5">
        <f>(IF(AND((O93="Pb"),(K93="Child (0-7 years)")),(VLOOKUP(Q93,Pb!$A$2:$AV$103,22)),0))*E93</f>
        <v>0</v>
      </c>
      <c r="Z93" s="5">
        <f>(IF(AND((O93="Pb"),(K93="Adult (&gt; 15 years)")),(VLOOKUP(Q93,Pb!$A$2:$AV$103,48)),0))*E93</f>
        <v>0</v>
      </c>
      <c r="AA93" s="5">
        <f>(IF(AND((O93="Hg"),(K93="Child (0-7 years)")),(VLOOKUP(S93,'Hg Values'!$A$1:$M$30,3)),0))*E93</f>
        <v>0</v>
      </c>
      <c r="AB93" s="5">
        <f>(IF(AND((O93="Hg"),(K93="Child (0-7 years)")),(VLOOKUP(Q93,'Hg Values'!$A$1:$M$30,13)),0))*E93</f>
        <v>0</v>
      </c>
      <c r="AC93" s="5">
        <f>((IF(AND((O93="CA"),(K93="Adult (&gt; 15 years)")),(VLOOKUP(L93,CA_ingestion!A$1:J$78,7,0)),0))*((Q93/1000000)*R93*70))/14</f>
        <v>0</v>
      </c>
      <c r="AD93" s="5">
        <f t="shared" si="18"/>
        <v>0</v>
      </c>
      <c r="AE93" s="5">
        <f>((IF(AND((O93="CA"),(K93="Adult (&gt; 15 years)")),(AD93*(VLOOKUP(L93,CA_ingestion!A$1:J$78,10,0))),0)))</f>
        <v>0</v>
      </c>
      <c r="AF93" s="5">
        <f t="shared" si="19"/>
        <v>0</v>
      </c>
      <c r="AG93" s="5">
        <f t="shared" si="20"/>
        <v>0</v>
      </c>
    </row>
    <row r="94" spans="4:33">
      <c r="D94" s="29" t="s">
        <v>369</v>
      </c>
      <c r="E94" s="35">
        <f>VLOOKUP(D94,'List Data'!$A$100:$B$104,2,0)</f>
        <v>0</v>
      </c>
      <c r="F94" s="30">
        <v>0</v>
      </c>
      <c r="G94" s="30"/>
      <c r="H94" s="30"/>
      <c r="I94" s="5" t="str">
        <f>Summary!C$23</f>
        <v>Afghanistan</v>
      </c>
      <c r="J94" s="30"/>
      <c r="K94" s="30" t="s">
        <v>213</v>
      </c>
      <c r="L94" s="30" t="s">
        <v>213</v>
      </c>
      <c r="M94" s="37">
        <f>T94*Summary!$H$27</f>
        <v>0</v>
      </c>
      <c r="N94" s="37">
        <f>U94*Summary!$H$25</f>
        <v>0</v>
      </c>
      <c r="O94" s="5">
        <f>VLOOKUP(L94,'List Data'!A$2:C$94,3,0)</f>
        <v>0</v>
      </c>
      <c r="P94" s="5" t="str">
        <f>VLOOKUP(L94,'List Data'!A$2:B$94,2,0)</f>
        <v>--------</v>
      </c>
      <c r="Q94" s="5">
        <f t="shared" si="13"/>
        <v>0</v>
      </c>
      <c r="R94" s="5">
        <f t="shared" si="14"/>
        <v>50</v>
      </c>
      <c r="S94" s="5">
        <f t="shared" si="15"/>
        <v>0</v>
      </c>
      <c r="T94" s="5">
        <f t="shared" si="16"/>
        <v>0</v>
      </c>
      <c r="U94" s="5">
        <f t="shared" si="17"/>
        <v>0</v>
      </c>
      <c r="V94" s="5">
        <f>(IF(AND((O94="OP"),(K94="Child (0-7 years)")),VLOOKUP(($R94*(Q94/1000000)),'OP Values'!$A$1:$Q$35,7),))*E94</f>
        <v>0</v>
      </c>
      <c r="W94" s="5">
        <f>(IF(O94="OP",VLOOKUP(($R94*(F94/1000000)),'OP Values'!$A$1:$Q$35,17),))*E94</f>
        <v>0</v>
      </c>
      <c r="X94" s="5">
        <f>(IF(AND((O94="Pb"),(K94="Child (0-7 years)")),(VLOOKUP(Q94,Pb!$A$2:$AV$103,13)),0))*E94</f>
        <v>0</v>
      </c>
      <c r="Y94" s="5">
        <f>(IF(AND((O94="Pb"),(K94="Child (0-7 years)")),(VLOOKUP(Q94,Pb!$A$2:$AV$103,22)),0))*E94</f>
        <v>0</v>
      </c>
      <c r="Z94" s="5">
        <f>(IF(AND((O94="Pb"),(K94="Adult (&gt; 15 years)")),(VLOOKUP(Q94,Pb!$A$2:$AV$103,48)),0))*E94</f>
        <v>0</v>
      </c>
      <c r="AA94" s="5">
        <f>(IF(AND((O94="Hg"),(K94="Child (0-7 years)")),(VLOOKUP(S94,'Hg Values'!$A$1:$M$30,3)),0))*E94</f>
        <v>0</v>
      </c>
      <c r="AB94" s="5">
        <f>(IF(AND((O94="Hg"),(K94="Child (0-7 years)")),(VLOOKUP(Q94,'Hg Values'!$A$1:$M$30,13)),0))*E94</f>
        <v>0</v>
      </c>
      <c r="AC94" s="5">
        <f>((IF(AND((O94="CA"),(K94="Adult (&gt; 15 years)")),(VLOOKUP(L94,CA_ingestion!A$1:J$78,7,0)),0))*((Q94/1000000)*R94*70))/14</f>
        <v>0</v>
      </c>
      <c r="AD94" s="5">
        <f t="shared" si="18"/>
        <v>0</v>
      </c>
      <c r="AE94" s="5">
        <f>((IF(AND((O94="CA"),(K94="Adult (&gt; 15 years)")),(AD94*(VLOOKUP(L94,CA_ingestion!A$1:J$78,10,0))),0)))</f>
        <v>0</v>
      </c>
      <c r="AF94" s="5">
        <f t="shared" si="19"/>
        <v>0</v>
      </c>
      <c r="AG94" s="5">
        <f t="shared" si="20"/>
        <v>0</v>
      </c>
    </row>
    <row r="95" spans="4:33">
      <c r="D95" s="29" t="s">
        <v>369</v>
      </c>
      <c r="E95" s="35">
        <f>VLOOKUP(D95,'List Data'!$A$100:$B$104,2,0)</f>
        <v>0</v>
      </c>
      <c r="F95" s="30">
        <v>0</v>
      </c>
      <c r="G95" s="30"/>
      <c r="H95" s="30"/>
      <c r="I95" s="5" t="str">
        <f>Summary!C$23</f>
        <v>Afghanistan</v>
      </c>
      <c r="J95" s="30"/>
      <c r="K95" s="30" t="s">
        <v>213</v>
      </c>
      <c r="L95" s="30" t="s">
        <v>213</v>
      </c>
      <c r="M95" s="37">
        <f>T95*Summary!$H$27</f>
        <v>0</v>
      </c>
      <c r="N95" s="37">
        <f>U95*Summary!$H$25</f>
        <v>0</v>
      </c>
      <c r="O95" s="5">
        <f>VLOOKUP(L95,'List Data'!A$2:C$94,3,0)</f>
        <v>0</v>
      </c>
      <c r="P95" s="5" t="str">
        <f>VLOOKUP(L95,'List Data'!A$2:B$94,2,0)</f>
        <v>--------</v>
      </c>
      <c r="Q95" s="5">
        <f t="shared" si="13"/>
        <v>0</v>
      </c>
      <c r="R95" s="5">
        <f t="shared" si="14"/>
        <v>50</v>
      </c>
      <c r="S95" s="5">
        <f t="shared" si="15"/>
        <v>0</v>
      </c>
      <c r="T95" s="5">
        <f t="shared" si="16"/>
        <v>0</v>
      </c>
      <c r="U95" s="5">
        <f t="shared" si="17"/>
        <v>0</v>
      </c>
      <c r="V95" s="5">
        <f>(IF(AND((O95="OP"),(K95="Child (0-7 years)")),VLOOKUP(($R95*(Q95/1000000)),'OP Values'!$A$1:$Q$35,7),))*E95</f>
        <v>0</v>
      </c>
      <c r="W95" s="5">
        <f>(IF(O95="OP",VLOOKUP(($R95*(F95/1000000)),'OP Values'!$A$1:$Q$35,17),))*E95</f>
        <v>0</v>
      </c>
      <c r="X95" s="5">
        <f>(IF(AND((O95="Pb"),(K95="Child (0-7 years)")),(VLOOKUP(Q95,Pb!$A$2:$AV$103,13)),0))*E95</f>
        <v>0</v>
      </c>
      <c r="Y95" s="5">
        <f>(IF(AND((O95="Pb"),(K95="Child (0-7 years)")),(VLOOKUP(Q95,Pb!$A$2:$AV$103,22)),0))*E95</f>
        <v>0</v>
      </c>
      <c r="Z95" s="5">
        <f>(IF(AND((O95="Pb"),(K95="Adult (&gt; 15 years)")),(VLOOKUP(Q95,Pb!$A$2:$AV$103,48)),0))*E95</f>
        <v>0</v>
      </c>
      <c r="AA95" s="5">
        <f>(IF(AND((O95="Hg"),(K95="Child (0-7 years)")),(VLOOKUP(S95,'Hg Values'!$A$1:$M$30,3)),0))*E95</f>
        <v>0</v>
      </c>
      <c r="AB95" s="5">
        <f>(IF(AND((O95="Hg"),(K95="Child (0-7 years)")),(VLOOKUP(Q95,'Hg Values'!$A$1:$M$30,13)),0))*E95</f>
        <v>0</v>
      </c>
      <c r="AC95" s="5">
        <f>((IF(AND((O95="CA"),(K95="Adult (&gt; 15 years)")),(VLOOKUP(L95,CA_ingestion!A$1:J$78,7,0)),0))*((Q95/1000000)*R95*70))/14</f>
        <v>0</v>
      </c>
      <c r="AD95" s="5">
        <f t="shared" si="18"/>
        <v>0</v>
      </c>
      <c r="AE95" s="5">
        <f>((IF(AND((O95="CA"),(K95="Adult (&gt; 15 years)")),(AD95*(VLOOKUP(L95,CA_ingestion!A$1:J$78,10,0))),0)))</f>
        <v>0</v>
      </c>
      <c r="AF95" s="5">
        <f t="shared" si="19"/>
        <v>0</v>
      </c>
      <c r="AG95" s="5">
        <f t="shared" si="20"/>
        <v>0</v>
      </c>
    </row>
    <row r="96" spans="4:33">
      <c r="D96" s="29" t="s">
        <v>369</v>
      </c>
      <c r="E96" s="35">
        <f>VLOOKUP(D96,'List Data'!$A$100:$B$104,2,0)</f>
        <v>0</v>
      </c>
      <c r="F96" s="30">
        <v>0</v>
      </c>
      <c r="G96" s="30"/>
      <c r="H96" s="30"/>
      <c r="I96" s="5" t="str">
        <f>Summary!C$23</f>
        <v>Afghanistan</v>
      </c>
      <c r="J96" s="30"/>
      <c r="K96" s="30" t="s">
        <v>213</v>
      </c>
      <c r="L96" s="30" t="s">
        <v>213</v>
      </c>
      <c r="M96" s="37">
        <f>T96*Summary!$H$27</f>
        <v>0</v>
      </c>
      <c r="N96" s="37">
        <f>U96*Summary!$H$25</f>
        <v>0</v>
      </c>
      <c r="O96" s="5">
        <f>VLOOKUP(L96,'List Data'!A$2:C$94,3,0)</f>
        <v>0</v>
      </c>
      <c r="P96" s="5" t="str">
        <f>VLOOKUP(L96,'List Data'!A$2:B$94,2,0)</f>
        <v>--------</v>
      </c>
      <c r="Q96" s="5">
        <f t="shared" si="13"/>
        <v>0</v>
      </c>
      <c r="R96" s="5">
        <f t="shared" si="14"/>
        <v>50</v>
      </c>
      <c r="S96" s="5">
        <f t="shared" si="15"/>
        <v>0</v>
      </c>
      <c r="T96" s="5">
        <f t="shared" si="16"/>
        <v>0</v>
      </c>
      <c r="U96" s="5">
        <f t="shared" si="17"/>
        <v>0</v>
      </c>
      <c r="V96" s="5">
        <f>(IF(AND((O96="OP"),(K96="Child (0-7 years)")),VLOOKUP(($R96*(Q96/1000000)),'OP Values'!$A$1:$Q$35,7),))*E96</f>
        <v>0</v>
      </c>
      <c r="W96" s="5">
        <f>(IF(O96="OP",VLOOKUP(($R96*(F96/1000000)),'OP Values'!$A$1:$Q$35,17),))*E96</f>
        <v>0</v>
      </c>
      <c r="X96" s="5">
        <f>(IF(AND((O96="Pb"),(K96="Child (0-7 years)")),(VLOOKUP(Q96,Pb!$A$2:$AV$103,13)),0))*E96</f>
        <v>0</v>
      </c>
      <c r="Y96" s="5">
        <f>(IF(AND((O96="Pb"),(K96="Child (0-7 years)")),(VLOOKUP(Q96,Pb!$A$2:$AV$103,22)),0))*E96</f>
        <v>0</v>
      </c>
      <c r="Z96" s="5">
        <f>(IF(AND((O96="Pb"),(K96="Adult (&gt; 15 years)")),(VLOOKUP(Q96,Pb!$A$2:$AV$103,48)),0))*E96</f>
        <v>0</v>
      </c>
      <c r="AA96" s="5">
        <f>(IF(AND((O96="Hg"),(K96="Child (0-7 years)")),(VLOOKUP(S96,'Hg Values'!$A$1:$M$30,3)),0))*E96</f>
        <v>0</v>
      </c>
      <c r="AB96" s="5">
        <f>(IF(AND((O96="Hg"),(K96="Child (0-7 years)")),(VLOOKUP(Q96,'Hg Values'!$A$1:$M$30,13)),0))*E96</f>
        <v>0</v>
      </c>
      <c r="AC96" s="5">
        <f>((IF(AND((O96="CA"),(K96="Adult (&gt; 15 years)")),(VLOOKUP(L96,CA_ingestion!A$1:J$78,7,0)),0))*((Q96/1000000)*R96*70))/14</f>
        <v>0</v>
      </c>
      <c r="AD96" s="5">
        <f t="shared" si="18"/>
        <v>0</v>
      </c>
      <c r="AE96" s="5">
        <f>((IF(AND((O96="CA"),(K96="Adult (&gt; 15 years)")),(AD96*(VLOOKUP(L96,CA_ingestion!A$1:J$78,10,0))),0)))</f>
        <v>0</v>
      </c>
      <c r="AF96" s="5">
        <f t="shared" si="19"/>
        <v>0</v>
      </c>
      <c r="AG96" s="5">
        <f t="shared" si="20"/>
        <v>0</v>
      </c>
    </row>
    <row r="97" spans="4:33">
      <c r="D97" s="29" t="s">
        <v>369</v>
      </c>
      <c r="E97" s="35">
        <f>VLOOKUP(D97,'List Data'!$A$100:$B$104,2,0)</f>
        <v>0</v>
      </c>
      <c r="F97" s="30">
        <v>0</v>
      </c>
      <c r="G97" s="30"/>
      <c r="H97" s="30"/>
      <c r="I97" s="5" t="str">
        <f>Summary!C$23</f>
        <v>Afghanistan</v>
      </c>
      <c r="J97" s="30"/>
      <c r="K97" s="30" t="s">
        <v>213</v>
      </c>
      <c r="L97" s="30" t="s">
        <v>213</v>
      </c>
      <c r="M97" s="37">
        <f>T97*Summary!$H$27</f>
        <v>0</v>
      </c>
      <c r="N97" s="37">
        <f>U97*Summary!$H$25</f>
        <v>0</v>
      </c>
      <c r="O97" s="5">
        <f>VLOOKUP(L97,'List Data'!A$2:C$94,3,0)</f>
        <v>0</v>
      </c>
      <c r="P97" s="5" t="str">
        <f>VLOOKUP(L97,'List Data'!A$2:B$94,2,0)</f>
        <v>--------</v>
      </c>
      <c r="Q97" s="5">
        <f t="shared" si="13"/>
        <v>0</v>
      </c>
      <c r="R97" s="5">
        <f t="shared" si="14"/>
        <v>50</v>
      </c>
      <c r="S97" s="5">
        <f t="shared" si="15"/>
        <v>0</v>
      </c>
      <c r="T97" s="5">
        <f t="shared" si="16"/>
        <v>0</v>
      </c>
      <c r="U97" s="5">
        <f t="shared" si="17"/>
        <v>0</v>
      </c>
      <c r="V97" s="5">
        <f>(IF(AND((O97="OP"),(K97="Child (0-7 years)")),VLOOKUP(($R97*(Q97/1000000)),'OP Values'!$A$1:$Q$35,7),))*E97</f>
        <v>0</v>
      </c>
      <c r="W97" s="5">
        <f>(IF(O97="OP",VLOOKUP(($R97*(F97/1000000)),'OP Values'!$A$1:$Q$35,17),))*E97</f>
        <v>0</v>
      </c>
      <c r="X97" s="5">
        <f>(IF(AND((O97="Pb"),(K97="Child (0-7 years)")),(VLOOKUP(Q97,Pb!$A$2:$AV$103,13)),0))*E97</f>
        <v>0</v>
      </c>
      <c r="Y97" s="5">
        <f>(IF(AND((O97="Pb"),(K97="Child (0-7 years)")),(VLOOKUP(Q97,Pb!$A$2:$AV$103,22)),0))*E97</f>
        <v>0</v>
      </c>
      <c r="Z97" s="5">
        <f>(IF(AND((O97="Pb"),(K97="Adult (&gt; 15 years)")),(VLOOKUP(Q97,Pb!$A$2:$AV$103,48)),0))*E97</f>
        <v>0</v>
      </c>
      <c r="AA97" s="5">
        <f>(IF(AND((O97="Hg"),(K97="Child (0-7 years)")),(VLOOKUP(S97,'Hg Values'!$A$1:$M$30,3)),0))*E97</f>
        <v>0</v>
      </c>
      <c r="AB97" s="5">
        <f>(IF(AND((O97="Hg"),(K97="Child (0-7 years)")),(VLOOKUP(Q97,'Hg Values'!$A$1:$M$30,13)),0))*E97</f>
        <v>0</v>
      </c>
      <c r="AC97" s="5">
        <f>((IF(AND((O97="CA"),(K97="Adult (&gt; 15 years)")),(VLOOKUP(L97,CA_ingestion!A$1:J$78,7,0)),0))*((Q97/1000000)*R97*70))/14</f>
        <v>0</v>
      </c>
      <c r="AD97" s="5">
        <f t="shared" si="18"/>
        <v>0</v>
      </c>
      <c r="AE97" s="5">
        <f>((IF(AND((O97="CA"),(K97="Adult (&gt; 15 years)")),(AD97*(VLOOKUP(L97,CA_ingestion!A$1:J$78,10,0))),0)))</f>
        <v>0</v>
      </c>
      <c r="AF97" s="5">
        <f t="shared" si="19"/>
        <v>0</v>
      </c>
      <c r="AG97" s="5">
        <f t="shared" si="20"/>
        <v>0</v>
      </c>
    </row>
    <row r="98" spans="4:33">
      <c r="D98" s="29" t="s">
        <v>369</v>
      </c>
      <c r="E98" s="35">
        <f>VLOOKUP(D98,'List Data'!$A$100:$B$104,2,0)</f>
        <v>0</v>
      </c>
      <c r="F98" s="30">
        <v>0</v>
      </c>
      <c r="G98" s="30"/>
      <c r="H98" s="30"/>
      <c r="I98" s="5" t="str">
        <f>Summary!C$23</f>
        <v>Afghanistan</v>
      </c>
      <c r="J98" s="30"/>
      <c r="K98" s="30" t="s">
        <v>213</v>
      </c>
      <c r="L98" s="30" t="s">
        <v>213</v>
      </c>
      <c r="M98" s="37">
        <f>T98*Summary!$H$27</f>
        <v>0</v>
      </c>
      <c r="N98" s="37">
        <f>U98*Summary!$H$25</f>
        <v>0</v>
      </c>
      <c r="O98" s="5">
        <f>VLOOKUP(L98,'List Data'!A$2:C$94,3,0)</f>
        <v>0</v>
      </c>
      <c r="P98" s="5" t="str">
        <f>VLOOKUP(L98,'List Data'!A$2:B$94,2,0)</f>
        <v>--------</v>
      </c>
      <c r="Q98" s="5">
        <f t="shared" si="13"/>
        <v>0</v>
      </c>
      <c r="R98" s="5">
        <f t="shared" si="14"/>
        <v>50</v>
      </c>
      <c r="S98" s="5">
        <f t="shared" si="15"/>
        <v>0</v>
      </c>
      <c r="T98" s="5">
        <f t="shared" si="16"/>
        <v>0</v>
      </c>
      <c r="U98" s="5">
        <f t="shared" si="17"/>
        <v>0</v>
      </c>
      <c r="V98" s="5">
        <f>(IF(AND((O98="OP"),(K98="Child (0-7 years)")),VLOOKUP(($R98*(Q98/1000000)),'OP Values'!$A$1:$Q$35,7),))*E98</f>
        <v>0</v>
      </c>
      <c r="W98" s="5">
        <f>(IF(O98="OP",VLOOKUP(($R98*(F98/1000000)),'OP Values'!$A$1:$Q$35,17),))*E98</f>
        <v>0</v>
      </c>
      <c r="X98" s="5">
        <f>(IF(AND((O98="Pb"),(K98="Child (0-7 years)")),(VLOOKUP(Q98,Pb!$A$2:$AV$103,13)),0))*E98</f>
        <v>0</v>
      </c>
      <c r="Y98" s="5">
        <f>(IF(AND((O98="Pb"),(K98="Child (0-7 years)")),(VLOOKUP(Q98,Pb!$A$2:$AV$103,22)),0))*E98</f>
        <v>0</v>
      </c>
      <c r="Z98" s="5">
        <f>(IF(AND((O98="Pb"),(K98="Adult (&gt; 15 years)")),(VLOOKUP(Q98,Pb!$A$2:$AV$103,48)),0))*E98</f>
        <v>0</v>
      </c>
      <c r="AA98" s="5">
        <f>(IF(AND((O98="Hg"),(K98="Child (0-7 years)")),(VLOOKUP(S98,'Hg Values'!$A$1:$M$30,3)),0))*E98</f>
        <v>0</v>
      </c>
      <c r="AB98" s="5">
        <f>(IF(AND((O98="Hg"),(K98="Child (0-7 years)")),(VLOOKUP(Q98,'Hg Values'!$A$1:$M$30,13)),0))*E98</f>
        <v>0</v>
      </c>
      <c r="AC98" s="5">
        <f>((IF(AND((O98="CA"),(K98="Adult (&gt; 15 years)")),(VLOOKUP(L98,CA_ingestion!A$1:J$78,7,0)),0))*((Q98/1000000)*R98*70))/14</f>
        <v>0</v>
      </c>
      <c r="AD98" s="5">
        <f t="shared" si="18"/>
        <v>0</v>
      </c>
      <c r="AE98" s="5">
        <f>((IF(AND((O98="CA"),(K98="Adult (&gt; 15 years)")),(AD98*(VLOOKUP(L98,CA_ingestion!A$1:J$78,10,0))),0)))</f>
        <v>0</v>
      </c>
      <c r="AF98" s="5">
        <f t="shared" si="19"/>
        <v>0</v>
      </c>
      <c r="AG98" s="5">
        <f t="shared" si="20"/>
        <v>0</v>
      </c>
    </row>
    <row r="99" spans="4:33">
      <c r="D99" s="29" t="s">
        <v>369</v>
      </c>
      <c r="E99" s="35">
        <f>VLOOKUP(D99,'List Data'!$A$100:$B$104,2,0)</f>
        <v>0</v>
      </c>
      <c r="F99" s="30">
        <v>0</v>
      </c>
      <c r="G99" s="30"/>
      <c r="H99" s="30"/>
      <c r="I99" s="5" t="str">
        <f>Summary!C$23</f>
        <v>Afghanistan</v>
      </c>
      <c r="J99" s="30"/>
      <c r="K99" s="30" t="s">
        <v>213</v>
      </c>
      <c r="L99" s="30" t="s">
        <v>213</v>
      </c>
      <c r="M99" s="37">
        <f>T99*Summary!$H$27</f>
        <v>0</v>
      </c>
      <c r="N99" s="37">
        <f>U99*Summary!$H$25</f>
        <v>0</v>
      </c>
      <c r="O99" s="5">
        <f>VLOOKUP(L99,'List Data'!A$2:C$94,3,0)</f>
        <v>0</v>
      </c>
      <c r="P99" s="5" t="str">
        <f>VLOOKUP(L99,'List Data'!A$2:B$94,2,0)</f>
        <v>--------</v>
      </c>
      <c r="Q99" s="5">
        <f t="shared" si="13"/>
        <v>0</v>
      </c>
      <c r="R99" s="5">
        <f t="shared" si="14"/>
        <v>50</v>
      </c>
      <c r="S99" s="5">
        <f t="shared" si="15"/>
        <v>0</v>
      </c>
      <c r="T99" s="5">
        <f t="shared" si="16"/>
        <v>0</v>
      </c>
      <c r="U99" s="5">
        <f t="shared" si="17"/>
        <v>0</v>
      </c>
      <c r="V99" s="5">
        <f>(IF(AND((O99="OP"),(K99="Child (0-7 years)")),VLOOKUP(($R99*(Q99/1000000)),'OP Values'!$A$1:$Q$35,7),))*E99</f>
        <v>0</v>
      </c>
      <c r="W99" s="5">
        <f>(IF(O99="OP",VLOOKUP(($R99*(F99/1000000)),'OP Values'!$A$1:$Q$35,17),))*E99</f>
        <v>0</v>
      </c>
      <c r="X99" s="5">
        <f>(IF(AND((O99="Pb"),(K99="Child (0-7 years)")),(VLOOKUP(Q99,Pb!$A$2:$AV$103,13)),0))*E99</f>
        <v>0</v>
      </c>
      <c r="Y99" s="5">
        <f>(IF(AND((O99="Pb"),(K99="Child (0-7 years)")),(VLOOKUP(Q99,Pb!$A$2:$AV$103,22)),0))*E99</f>
        <v>0</v>
      </c>
      <c r="Z99" s="5">
        <f>(IF(AND((O99="Pb"),(K99="Adult (&gt; 15 years)")),(VLOOKUP(Q99,Pb!$A$2:$AV$103,48)),0))*E99</f>
        <v>0</v>
      </c>
      <c r="AA99" s="5">
        <f>(IF(AND((O99="Hg"),(K99="Child (0-7 years)")),(VLOOKUP(S99,'Hg Values'!$A$1:$M$30,3)),0))*E99</f>
        <v>0</v>
      </c>
      <c r="AB99" s="5">
        <f>(IF(AND((O99="Hg"),(K99="Child (0-7 years)")),(VLOOKUP(Q99,'Hg Values'!$A$1:$M$30,13)),0))*E99</f>
        <v>0</v>
      </c>
      <c r="AC99" s="5">
        <f>((IF(AND((O99="CA"),(K99="Adult (&gt; 15 years)")),(VLOOKUP(L99,CA_ingestion!A$1:J$78,7,0)),0))*((Q99/1000000)*R99*70))/14</f>
        <v>0</v>
      </c>
      <c r="AD99" s="5">
        <f t="shared" si="18"/>
        <v>0</v>
      </c>
      <c r="AE99" s="5">
        <f>((IF(AND((O99="CA"),(K99="Adult (&gt; 15 years)")),(AD99*(VLOOKUP(L99,CA_ingestion!A$1:J$78,10,0))),0)))</f>
        <v>0</v>
      </c>
      <c r="AF99" s="5">
        <f t="shared" si="19"/>
        <v>0</v>
      </c>
      <c r="AG99" s="5">
        <f t="shared" si="20"/>
        <v>0</v>
      </c>
    </row>
    <row r="100" spans="4:33">
      <c r="D100" s="29" t="s">
        <v>369</v>
      </c>
      <c r="E100" s="35">
        <f>VLOOKUP(D100,'List Data'!$A$100:$B$104,2,0)</f>
        <v>0</v>
      </c>
      <c r="F100" s="30">
        <v>0</v>
      </c>
      <c r="G100" s="30"/>
      <c r="H100" s="30"/>
      <c r="I100" s="5" t="str">
        <f>Summary!C$23</f>
        <v>Afghanistan</v>
      </c>
      <c r="J100" s="30"/>
      <c r="K100" s="30" t="s">
        <v>213</v>
      </c>
      <c r="L100" s="30" t="s">
        <v>213</v>
      </c>
      <c r="M100" s="37">
        <f>T100*Summary!$H$27</f>
        <v>0</v>
      </c>
      <c r="N100" s="37">
        <f>U100*Summary!$H$25</f>
        <v>0</v>
      </c>
      <c r="O100" s="5">
        <f>VLOOKUP(L100,'List Data'!A$2:C$94,3,0)</f>
        <v>0</v>
      </c>
      <c r="P100" s="5" t="str">
        <f>VLOOKUP(L100,'List Data'!A$2:B$94,2,0)</f>
        <v>--------</v>
      </c>
      <c r="Q100" s="5">
        <f t="shared" si="13"/>
        <v>0</v>
      </c>
      <c r="R100" s="5">
        <f t="shared" si="14"/>
        <v>50</v>
      </c>
      <c r="S100" s="5">
        <f t="shared" si="15"/>
        <v>0</v>
      </c>
      <c r="T100" s="5">
        <f t="shared" si="16"/>
        <v>0</v>
      </c>
      <c r="U100" s="5">
        <f t="shared" si="17"/>
        <v>0</v>
      </c>
      <c r="V100" s="5">
        <f>(IF(AND((O100="OP"),(K100="Child (0-7 years)")),VLOOKUP(($R100*(Q100/1000000)),'OP Values'!$A$1:$Q$35,7),))*E100</f>
        <v>0</v>
      </c>
      <c r="W100" s="5">
        <f>(IF(O100="OP",VLOOKUP(($R100*(F100/1000000)),'OP Values'!$A$1:$Q$35,17),))*E100</f>
        <v>0</v>
      </c>
      <c r="X100" s="5">
        <f>(IF(AND((O100="Pb"),(K100="Child (0-7 years)")),(VLOOKUP(Q100,Pb!$A$2:$AV$103,13)),0))*E100</f>
        <v>0</v>
      </c>
      <c r="Y100" s="5">
        <f>(IF(AND((O100="Pb"),(K100="Child (0-7 years)")),(VLOOKUP(Q100,Pb!$A$2:$AV$103,22)),0))*E100</f>
        <v>0</v>
      </c>
      <c r="Z100" s="5">
        <f>(IF(AND((O100="Pb"),(K100="Adult (&gt; 15 years)")),(VLOOKUP(Q100,Pb!$A$2:$AV$103,48)),0))*E100</f>
        <v>0</v>
      </c>
      <c r="AA100" s="5">
        <f>(IF(AND((O100="Hg"),(K100="Child (0-7 years)")),(VLOOKUP(S100,'Hg Values'!$A$1:$M$30,3)),0))*E100</f>
        <v>0</v>
      </c>
      <c r="AB100" s="5">
        <f>(IF(AND((O100="Hg"),(K100="Child (0-7 years)")),(VLOOKUP(Q100,'Hg Values'!$A$1:$M$30,13)),0))*E100</f>
        <v>0</v>
      </c>
      <c r="AC100" s="5">
        <f>((IF(AND((O100="CA"),(K100="Adult (&gt; 15 years)")),(VLOOKUP(L100,CA_ingestion!A$1:J$78,7,0)),0))*((Q100/1000000)*R100*70))/14</f>
        <v>0</v>
      </c>
      <c r="AD100" s="5">
        <f t="shared" si="18"/>
        <v>0</v>
      </c>
      <c r="AE100" s="5">
        <f>((IF(AND((O100="CA"),(K100="Adult (&gt; 15 years)")),(AD100*(VLOOKUP(L100,CA_ingestion!A$1:J$78,10,0))),0)))</f>
        <v>0</v>
      </c>
      <c r="AF100" s="5">
        <f t="shared" si="19"/>
        <v>0</v>
      </c>
      <c r="AG100" s="5">
        <f t="shared" si="20"/>
        <v>0</v>
      </c>
    </row>
    <row r="101" spans="4:33">
      <c r="D101" s="29" t="s">
        <v>369</v>
      </c>
      <c r="E101" s="35">
        <f>VLOOKUP(D101,'List Data'!$A$100:$B$104,2,0)</f>
        <v>0</v>
      </c>
      <c r="F101" s="30">
        <v>0</v>
      </c>
      <c r="G101" s="30"/>
      <c r="H101" s="30"/>
      <c r="I101" s="5" t="str">
        <f>Summary!C$23</f>
        <v>Afghanistan</v>
      </c>
      <c r="J101" s="30"/>
      <c r="K101" s="30" t="s">
        <v>213</v>
      </c>
      <c r="L101" s="30" t="s">
        <v>213</v>
      </c>
      <c r="M101" s="37">
        <f>T101*Summary!$H$27</f>
        <v>0</v>
      </c>
      <c r="N101" s="37">
        <f>U101*Summary!$H$25</f>
        <v>0</v>
      </c>
      <c r="O101" s="5">
        <f>VLOOKUP(L101,'List Data'!A$2:C$94,3,0)</f>
        <v>0</v>
      </c>
      <c r="P101" s="5" t="str">
        <f>VLOOKUP(L101,'List Data'!A$2:B$94,2,0)</f>
        <v>--------</v>
      </c>
      <c r="Q101" s="5">
        <f t="shared" si="13"/>
        <v>0</v>
      </c>
      <c r="R101" s="5">
        <f t="shared" si="14"/>
        <v>50</v>
      </c>
      <c r="S101" s="5">
        <f t="shared" si="15"/>
        <v>0</v>
      </c>
      <c r="T101" s="5">
        <f t="shared" si="16"/>
        <v>0</v>
      </c>
      <c r="U101" s="5">
        <f t="shared" si="17"/>
        <v>0</v>
      </c>
      <c r="V101" s="5">
        <f>(IF(AND((O101="OP"),(K101="Child (0-7 years)")),VLOOKUP(($R101*(Q101/1000000)),'OP Values'!$A$1:$Q$35,7),))*E101</f>
        <v>0</v>
      </c>
      <c r="W101" s="5">
        <f>(IF(O101="OP",VLOOKUP(($R101*(F101/1000000)),'OP Values'!$A$1:$Q$35,17),))*E101</f>
        <v>0</v>
      </c>
      <c r="X101" s="5">
        <f>(IF(AND((O101="Pb"),(K101="Child (0-7 years)")),(VLOOKUP(Q101,Pb!$A$2:$AV$103,13)),0))*E101</f>
        <v>0</v>
      </c>
      <c r="Y101" s="5">
        <f>(IF(AND((O101="Pb"),(K101="Child (0-7 years)")),(VLOOKUP(Q101,Pb!$A$2:$AV$103,22)),0))*E101</f>
        <v>0</v>
      </c>
      <c r="Z101" s="5">
        <f>(IF(AND((O101="Pb"),(K101="Adult (&gt; 15 years)")),(VLOOKUP(Q101,Pb!$A$2:$AV$103,48)),0))*E101</f>
        <v>0</v>
      </c>
      <c r="AA101" s="5">
        <f>(IF(AND((O101="Hg"),(K101="Child (0-7 years)")),(VLOOKUP(S101,'Hg Values'!$A$1:$M$30,3)),0))*E101</f>
        <v>0</v>
      </c>
      <c r="AB101" s="5">
        <f>(IF(AND((O101="Hg"),(K101="Child (0-7 years)")),(VLOOKUP(Q101,'Hg Values'!$A$1:$M$30,13)),0))*E101</f>
        <v>0</v>
      </c>
      <c r="AC101" s="5">
        <f>((IF(AND((O101="CA"),(K101="Adult (&gt; 15 years)")),(VLOOKUP(L101,CA_ingestion!A$1:J$78,7,0)),0))*((Q101/1000000)*R101*70))/14</f>
        <v>0</v>
      </c>
      <c r="AD101" s="5">
        <f t="shared" si="18"/>
        <v>0</v>
      </c>
      <c r="AE101" s="5">
        <f>((IF(AND((O101="CA"),(K101="Adult (&gt; 15 years)")),(AD101*(VLOOKUP(L101,CA_ingestion!A$1:J$78,10,0))),0)))</f>
        <v>0</v>
      </c>
      <c r="AF101" s="5">
        <f t="shared" si="19"/>
        <v>0</v>
      </c>
      <c r="AG101" s="5">
        <f t="shared" si="20"/>
        <v>0</v>
      </c>
    </row>
    <row r="102" spans="4:33">
      <c r="D102" s="29" t="s">
        <v>369</v>
      </c>
      <c r="E102" s="35">
        <f>VLOOKUP(D102,'List Data'!$A$100:$B$104,2,0)</f>
        <v>0</v>
      </c>
      <c r="F102" s="30">
        <v>0</v>
      </c>
      <c r="G102" s="30"/>
      <c r="H102" s="30"/>
      <c r="I102" s="5" t="str">
        <f>Summary!C$23</f>
        <v>Afghanistan</v>
      </c>
      <c r="J102" s="30"/>
      <c r="K102" s="30" t="s">
        <v>213</v>
      </c>
      <c r="L102" s="30" t="s">
        <v>213</v>
      </c>
      <c r="M102" s="37">
        <f>T102*Summary!$H$27</f>
        <v>0</v>
      </c>
      <c r="N102" s="37">
        <f>U102*Summary!$H$25</f>
        <v>0</v>
      </c>
      <c r="O102" s="5">
        <f>VLOOKUP(L102,'List Data'!A$2:C$94,3,0)</f>
        <v>0</v>
      </c>
      <c r="P102" s="5" t="str">
        <f>VLOOKUP(L102,'List Data'!A$2:B$94,2,0)</f>
        <v>--------</v>
      </c>
      <c r="Q102" s="5">
        <f t="shared" si="13"/>
        <v>0</v>
      </c>
      <c r="R102" s="5">
        <f t="shared" si="14"/>
        <v>50</v>
      </c>
      <c r="S102" s="5">
        <f t="shared" si="15"/>
        <v>0</v>
      </c>
      <c r="T102" s="5">
        <f t="shared" si="16"/>
        <v>0</v>
      </c>
      <c r="U102" s="5">
        <f t="shared" si="17"/>
        <v>0</v>
      </c>
      <c r="V102" s="5">
        <f>(IF(AND((O102="OP"),(K102="Child (0-7 years)")),VLOOKUP(($R102*(Q102/1000000)),'OP Values'!$A$1:$Q$35,7),))*E102</f>
        <v>0</v>
      </c>
      <c r="W102" s="5">
        <f>(IF(O102="OP",VLOOKUP(($R102*(F102/1000000)),'OP Values'!$A$1:$Q$35,17),))*E102</f>
        <v>0</v>
      </c>
      <c r="X102" s="5">
        <f>(IF(AND((O102="Pb"),(K102="Child (0-7 years)")),(VLOOKUP(Q102,Pb!$A$2:$AV$103,13)),0))*E102</f>
        <v>0</v>
      </c>
      <c r="Y102" s="5">
        <f>(IF(AND((O102="Pb"),(K102="Child (0-7 years)")),(VLOOKUP(Q102,Pb!$A$2:$AV$103,22)),0))*E102</f>
        <v>0</v>
      </c>
      <c r="Z102" s="5">
        <f>(IF(AND((O102="Pb"),(K102="Adult (&gt; 15 years)")),(VLOOKUP(Q102,Pb!$A$2:$AV$103,48)),0))*E102</f>
        <v>0</v>
      </c>
      <c r="AA102" s="5">
        <f>(IF(AND((O102="Hg"),(K102="Child (0-7 years)")),(VLOOKUP(S102,'Hg Values'!$A$1:$M$30,3)),0))*E102</f>
        <v>0</v>
      </c>
      <c r="AB102" s="5">
        <f>(IF(AND((O102="Hg"),(K102="Child (0-7 years)")),(VLOOKUP(Q102,'Hg Values'!$A$1:$M$30,13)),0))*E102</f>
        <v>0</v>
      </c>
      <c r="AC102" s="5">
        <f>((IF(AND((O102="CA"),(K102="Adult (&gt; 15 years)")),(VLOOKUP(L102,CA_ingestion!A$1:J$78,7,0)),0))*((Q102/1000000)*R102*70))/14</f>
        <v>0</v>
      </c>
      <c r="AD102" s="5">
        <f t="shared" si="18"/>
        <v>0</v>
      </c>
      <c r="AE102" s="5">
        <f>((IF(AND((O102="CA"),(K102="Adult (&gt; 15 years)")),(AD102*(VLOOKUP(L102,CA_ingestion!A$1:J$78,10,0))),0)))</f>
        <v>0</v>
      </c>
      <c r="AF102" s="5">
        <f t="shared" si="19"/>
        <v>0</v>
      </c>
      <c r="AG102" s="5">
        <f t="shared" si="20"/>
        <v>0</v>
      </c>
    </row>
    <row r="103" spans="4:33">
      <c r="D103" s="29" t="s">
        <v>369</v>
      </c>
      <c r="E103" s="35">
        <f>VLOOKUP(D103,'List Data'!$A$100:$B$104,2,0)</f>
        <v>0</v>
      </c>
      <c r="F103" s="30">
        <v>0</v>
      </c>
      <c r="G103" s="30"/>
      <c r="H103" s="30"/>
      <c r="I103" s="5" t="str">
        <f>Summary!C$23</f>
        <v>Afghanistan</v>
      </c>
      <c r="J103" s="30"/>
      <c r="K103" s="30" t="s">
        <v>213</v>
      </c>
      <c r="L103" s="30" t="s">
        <v>213</v>
      </c>
      <c r="M103" s="37">
        <f>T103*Summary!$H$27</f>
        <v>0</v>
      </c>
      <c r="N103" s="37">
        <f>U103*Summary!$H$25</f>
        <v>0</v>
      </c>
      <c r="O103" s="5">
        <f>VLOOKUP(L103,'List Data'!A$2:C$94,3,0)</f>
        <v>0</v>
      </c>
      <c r="P103" s="5" t="str">
        <f>VLOOKUP(L103,'List Data'!A$2:B$94,2,0)</f>
        <v>--------</v>
      </c>
      <c r="Q103" s="5">
        <f t="shared" si="13"/>
        <v>0</v>
      </c>
      <c r="R103" s="5">
        <f t="shared" si="14"/>
        <v>50</v>
      </c>
      <c r="S103" s="5">
        <f t="shared" si="15"/>
        <v>0</v>
      </c>
      <c r="T103" s="5">
        <f t="shared" si="16"/>
        <v>0</v>
      </c>
      <c r="U103" s="5">
        <f t="shared" si="17"/>
        <v>0</v>
      </c>
      <c r="V103" s="5">
        <f>(IF(AND((O103="OP"),(K103="Child (0-7 years)")),VLOOKUP(($R103*(Q103/1000000)),'OP Values'!$A$1:$Q$35,7),))*E103</f>
        <v>0</v>
      </c>
      <c r="W103" s="5">
        <f>(IF(O103="OP",VLOOKUP(($R103*(F103/1000000)),'OP Values'!$A$1:$Q$35,17),))*E103</f>
        <v>0</v>
      </c>
      <c r="X103" s="5">
        <f>(IF(AND((O103="Pb"),(K103="Child (0-7 years)")),(VLOOKUP(Q103,Pb!$A$2:$AV$103,13)),0))*E103</f>
        <v>0</v>
      </c>
      <c r="Y103" s="5">
        <f>(IF(AND((O103="Pb"),(K103="Child (0-7 years)")),(VLOOKUP(Q103,Pb!$A$2:$AV$103,22)),0))*E103</f>
        <v>0</v>
      </c>
      <c r="Z103" s="5">
        <f>(IF(AND((O103="Pb"),(K103="Adult (&gt; 15 years)")),(VLOOKUP(Q103,Pb!$A$2:$AV$103,48)),0))*E103</f>
        <v>0</v>
      </c>
      <c r="AA103" s="5">
        <f>(IF(AND((O103="Hg"),(K103="Child (0-7 years)")),(VLOOKUP(S103,'Hg Values'!$A$1:$M$30,3)),0))*E103</f>
        <v>0</v>
      </c>
      <c r="AB103" s="5">
        <f>(IF(AND((O103="Hg"),(K103="Child (0-7 years)")),(VLOOKUP(Q103,'Hg Values'!$A$1:$M$30,13)),0))*E103</f>
        <v>0</v>
      </c>
      <c r="AC103" s="5">
        <f>((IF(AND((O103="CA"),(K103="Adult (&gt; 15 years)")),(VLOOKUP(L103,CA_ingestion!A$1:J$78,7,0)),0))*((Q103/1000000)*R103*70))/14</f>
        <v>0</v>
      </c>
      <c r="AD103" s="5">
        <f t="shared" si="18"/>
        <v>0</v>
      </c>
      <c r="AE103" s="5">
        <f>((IF(AND((O103="CA"),(K103="Adult (&gt; 15 years)")),(AD103*(VLOOKUP(L103,CA_ingestion!A$1:J$78,10,0))),0)))</f>
        <v>0</v>
      </c>
      <c r="AF103" s="5">
        <f t="shared" si="19"/>
        <v>0</v>
      </c>
      <c r="AG103" s="5">
        <f t="shared" si="20"/>
        <v>0</v>
      </c>
    </row>
    <row r="104" spans="4:33">
      <c r="D104" s="29" t="s">
        <v>369</v>
      </c>
      <c r="E104" s="35">
        <f>VLOOKUP(D104,'List Data'!$A$100:$B$104,2,0)</f>
        <v>0</v>
      </c>
      <c r="F104" s="30">
        <v>0</v>
      </c>
      <c r="G104" s="30"/>
      <c r="H104" s="30"/>
      <c r="I104" s="5" t="str">
        <f>Summary!C$23</f>
        <v>Afghanistan</v>
      </c>
      <c r="J104" s="30"/>
      <c r="K104" s="30" t="s">
        <v>213</v>
      </c>
      <c r="L104" s="30" t="s">
        <v>213</v>
      </c>
      <c r="M104" s="37">
        <f>T104*Summary!$H$27</f>
        <v>0</v>
      </c>
      <c r="N104" s="37">
        <f>U104*Summary!$H$25</f>
        <v>0</v>
      </c>
      <c r="O104" s="5">
        <f>VLOOKUP(L104,'List Data'!A$2:C$94,3,0)</f>
        <v>0</v>
      </c>
      <c r="P104" s="5" t="str">
        <f>VLOOKUP(L104,'List Data'!A$2:B$94,2,0)</f>
        <v>--------</v>
      </c>
      <c r="Q104" s="5">
        <f t="shared" si="13"/>
        <v>0</v>
      </c>
      <c r="R104" s="5">
        <f t="shared" si="14"/>
        <v>50</v>
      </c>
      <c r="S104" s="5">
        <f t="shared" si="15"/>
        <v>0</v>
      </c>
      <c r="T104" s="5">
        <f t="shared" si="16"/>
        <v>0</v>
      </c>
      <c r="U104" s="5">
        <f t="shared" si="17"/>
        <v>0</v>
      </c>
      <c r="V104" s="5">
        <f>(IF(AND((O104="OP"),(K104="Child (0-7 years)")),VLOOKUP(($R104*(Q104/1000000)),'OP Values'!$A$1:$Q$35,7),))*E104</f>
        <v>0</v>
      </c>
      <c r="W104" s="5">
        <f>(IF(O104="OP",VLOOKUP(($R104*(F104/1000000)),'OP Values'!$A$1:$Q$35,17),))*E104</f>
        <v>0</v>
      </c>
      <c r="X104" s="5">
        <f>(IF(AND((O104="Pb"),(K104="Child (0-7 years)")),(VLOOKUP(Q104,Pb!$A$2:$AV$103,13)),0))*E104</f>
        <v>0</v>
      </c>
      <c r="Y104" s="5">
        <f>(IF(AND((O104="Pb"),(K104="Child (0-7 years)")),(VLOOKUP(Q104,Pb!$A$2:$AV$103,22)),0))*E104</f>
        <v>0</v>
      </c>
      <c r="Z104" s="5">
        <f>(IF(AND((O104="Pb"),(K104="Adult (&gt; 15 years)")),(VLOOKUP(Q104,Pb!$A$2:$AV$103,48)),0))*E104</f>
        <v>0</v>
      </c>
      <c r="AA104" s="5">
        <f>(IF(AND((O104="Hg"),(K104="Child (0-7 years)")),(VLOOKUP(S104,'Hg Values'!$A$1:$M$30,3)),0))*E104</f>
        <v>0</v>
      </c>
      <c r="AB104" s="5">
        <f>(IF(AND((O104="Hg"),(K104="Child (0-7 years)")),(VLOOKUP(Q104,'Hg Values'!$A$1:$M$30,13)),0))*E104</f>
        <v>0</v>
      </c>
      <c r="AC104" s="5">
        <f>((IF(AND((O104="CA"),(K104="Adult (&gt; 15 years)")),(VLOOKUP(L104,CA_ingestion!A$1:J$78,7,0)),0))*((Q104/1000000)*R104*70))/14</f>
        <v>0</v>
      </c>
      <c r="AD104" s="5">
        <f t="shared" si="18"/>
        <v>0</v>
      </c>
      <c r="AE104" s="5">
        <f>((IF(AND((O104="CA"),(K104="Adult (&gt; 15 years)")),(AD104*(VLOOKUP(L104,CA_ingestion!A$1:J$78,10,0))),0)))</f>
        <v>0</v>
      </c>
      <c r="AF104" s="5">
        <f t="shared" si="19"/>
        <v>0</v>
      </c>
      <c r="AG104" s="5">
        <f t="shared" si="20"/>
        <v>0</v>
      </c>
    </row>
    <row r="105" spans="4:33">
      <c r="D105" s="29" t="s">
        <v>369</v>
      </c>
      <c r="E105" s="35">
        <f>VLOOKUP(D105,'List Data'!$A$100:$B$104,2,0)</f>
        <v>0</v>
      </c>
      <c r="F105" s="30">
        <v>0</v>
      </c>
      <c r="G105" s="30"/>
      <c r="H105" s="30"/>
      <c r="I105" s="5" t="str">
        <f>Summary!C$23</f>
        <v>Afghanistan</v>
      </c>
      <c r="J105" s="30"/>
      <c r="K105" s="30" t="s">
        <v>213</v>
      </c>
      <c r="L105" s="30" t="s">
        <v>213</v>
      </c>
      <c r="M105" s="37">
        <f>T105*Summary!$H$27</f>
        <v>0</v>
      </c>
      <c r="N105" s="37">
        <f>U105*Summary!$H$25</f>
        <v>0</v>
      </c>
      <c r="O105" s="5">
        <f>VLOOKUP(L105,'List Data'!A$2:C$94,3,0)</f>
        <v>0</v>
      </c>
      <c r="P105" s="5" t="str">
        <f>VLOOKUP(L105,'List Data'!A$2:B$94,2,0)</f>
        <v>--------</v>
      </c>
      <c r="Q105" s="5">
        <f t="shared" si="13"/>
        <v>0</v>
      </c>
      <c r="R105" s="5">
        <f t="shared" si="14"/>
        <v>50</v>
      </c>
      <c r="S105" s="5">
        <f t="shared" si="15"/>
        <v>0</v>
      </c>
      <c r="T105" s="5">
        <f t="shared" si="16"/>
        <v>0</v>
      </c>
      <c r="U105" s="5">
        <f t="shared" si="17"/>
        <v>0</v>
      </c>
      <c r="V105" s="5">
        <f>(IF(AND((O105="OP"),(K105="Child (0-7 years)")),VLOOKUP(($R105*(Q105/1000000)),'OP Values'!$A$1:$Q$35,7),))*E105</f>
        <v>0</v>
      </c>
      <c r="W105" s="5">
        <f>(IF(O105="OP",VLOOKUP(($R105*(F105/1000000)),'OP Values'!$A$1:$Q$35,17),))*E105</f>
        <v>0</v>
      </c>
      <c r="X105" s="5">
        <f>(IF(AND((O105="Pb"),(K105="Child (0-7 years)")),(VLOOKUP(Q105,Pb!$A$2:$AV$103,13)),0))*E105</f>
        <v>0</v>
      </c>
      <c r="Y105" s="5">
        <f>(IF(AND((O105="Pb"),(K105="Child (0-7 years)")),(VLOOKUP(Q105,Pb!$A$2:$AV$103,22)),0))*E105</f>
        <v>0</v>
      </c>
      <c r="Z105" s="5">
        <f>(IF(AND((O105="Pb"),(K105="Adult (&gt; 15 years)")),(VLOOKUP(Q105,Pb!$A$2:$AV$103,48)),0))*E105</f>
        <v>0</v>
      </c>
      <c r="AA105" s="5">
        <f>(IF(AND((O105="Hg"),(K105="Child (0-7 years)")),(VLOOKUP(S105,'Hg Values'!$A$1:$M$30,3)),0))*E105</f>
        <v>0</v>
      </c>
      <c r="AB105" s="5">
        <f>(IF(AND((O105="Hg"),(K105="Child (0-7 years)")),(VLOOKUP(Q105,'Hg Values'!$A$1:$M$30,13)),0))*E105</f>
        <v>0</v>
      </c>
      <c r="AC105" s="5">
        <f>((IF(AND((O105="CA"),(K105="Adult (&gt; 15 years)")),(VLOOKUP(L105,CA_ingestion!A$1:J$78,7,0)),0))*((Q105/1000000)*R105*70))/14</f>
        <v>0</v>
      </c>
      <c r="AD105" s="5">
        <f t="shared" si="18"/>
        <v>0</v>
      </c>
      <c r="AE105" s="5">
        <f>((IF(AND((O105="CA"),(K105="Adult (&gt; 15 years)")),(AD105*(VLOOKUP(L105,CA_ingestion!A$1:J$78,10,0))),0)))</f>
        <v>0</v>
      </c>
      <c r="AF105" s="5">
        <f t="shared" si="19"/>
        <v>0</v>
      </c>
      <c r="AG105" s="5">
        <f t="shared" si="20"/>
        <v>0</v>
      </c>
    </row>
  </sheetData>
  <sheetProtection sheet="1" objects="1" scenarios="1"/>
  <phoneticPr fontId="40" type="noConversion"/>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'List Data'!$A$96:$A$98</xm:f>
          </x14:formula1>
          <xm:sqref>K5:K105</xm:sqref>
        </x14:dataValidation>
        <x14:dataValidation type="list" allowBlank="1" showInputMessage="1" showErrorMessage="1" xr:uid="{00000000-0002-0000-0400-000000000000}">
          <x14:formula1>
            <xm:f>'List Data'!$A$2:$A$94</xm:f>
          </x14:formula1>
          <xm:sqref>L5:L105</xm:sqref>
        </x14:dataValidation>
        <x14:dataValidation type="list" allowBlank="1" showInputMessage="1" showErrorMessage="1" xr:uid="{6870BEE5-DD12-4EC4-AF1B-AB58DF9BACFE}">
          <x14:formula1>
            <xm:f>'List Data'!$A$100:$A$104</xm:f>
          </x14:formula1>
          <xm:sqref>D5:D105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C103"/>
  <sheetViews>
    <sheetView zoomScaleNormal="100" zoomScalePageLayoutView="150" workbookViewId="0">
      <selection activeCell="F31" sqref="F31"/>
    </sheetView>
  </sheetViews>
  <sheetFormatPr defaultColWidth="8.81640625" defaultRowHeight="15.5"/>
  <cols>
    <col min="1" max="2" width="9" style="4" bestFit="1" customWidth="1"/>
    <col min="3" max="3" width="9" style="4" customWidth="1"/>
    <col min="4" max="9" width="9" style="4" bestFit="1" customWidth="1"/>
    <col min="10" max="10" width="8.81640625" style="4"/>
    <col min="11" max="12" width="9" style="4" customWidth="1"/>
    <col min="13" max="13" width="9" style="5" customWidth="1"/>
    <col min="14" max="14" width="8.81640625" style="4" customWidth="1"/>
    <col min="15" max="15" width="12.1796875" style="4" bestFit="1" customWidth="1"/>
    <col min="16" max="16" width="20.26953125" style="4" customWidth="1"/>
    <col min="17" max="18" width="14.1796875" style="4" customWidth="1"/>
    <col min="19" max="19" width="14.26953125" style="4" customWidth="1"/>
    <col min="20" max="20" width="17.81640625" style="4" customWidth="1"/>
    <col min="21" max="21" width="8.81640625" style="4" customWidth="1"/>
    <col min="22" max="22" width="15" style="5" customWidth="1"/>
    <col min="23" max="23" width="15" style="4" customWidth="1"/>
    <col min="24" max="44" width="8.81640625" style="4"/>
    <col min="45" max="45" width="14.1796875" style="4" bestFit="1" customWidth="1"/>
    <col min="46" max="47" width="8.81640625" style="4"/>
    <col min="48" max="48" width="8.81640625" style="5"/>
    <col min="49" max="16384" width="8.81640625" style="4"/>
  </cols>
  <sheetData>
    <row r="1" spans="1:55">
      <c r="A1" s="4">
        <v>1</v>
      </c>
      <c r="B1" s="4">
        <v>2</v>
      </c>
      <c r="C1" s="4">
        <v>3</v>
      </c>
      <c r="D1" s="4">
        <v>4</v>
      </c>
      <c r="E1" s="4">
        <v>5</v>
      </c>
      <c r="F1" s="4">
        <v>6</v>
      </c>
      <c r="G1" s="4">
        <v>7</v>
      </c>
      <c r="H1" s="4">
        <v>8</v>
      </c>
      <c r="I1" s="4">
        <v>9</v>
      </c>
      <c r="J1" s="4">
        <v>10</v>
      </c>
      <c r="K1" s="4">
        <v>11</v>
      </c>
      <c r="L1" s="4">
        <v>12</v>
      </c>
      <c r="M1" s="4">
        <v>13</v>
      </c>
      <c r="N1" s="4">
        <v>14</v>
      </c>
      <c r="O1" s="4">
        <v>15</v>
      </c>
      <c r="P1" s="4">
        <v>16</v>
      </c>
      <c r="Q1" s="4">
        <v>17</v>
      </c>
      <c r="R1" s="4">
        <v>18</v>
      </c>
      <c r="S1" s="4">
        <v>19</v>
      </c>
      <c r="T1" s="4">
        <v>20</v>
      </c>
      <c r="U1" s="4">
        <v>21</v>
      </c>
      <c r="V1" s="4">
        <v>22</v>
      </c>
      <c r="W1" s="4">
        <v>23</v>
      </c>
      <c r="X1" s="4">
        <v>24</v>
      </c>
      <c r="Y1" s="4">
        <v>25</v>
      </c>
      <c r="Z1" s="4">
        <v>26</v>
      </c>
      <c r="AA1" s="4">
        <v>27</v>
      </c>
      <c r="AB1" s="4">
        <v>28</v>
      </c>
      <c r="AC1" s="4">
        <v>29</v>
      </c>
      <c r="AD1" s="4">
        <v>30</v>
      </c>
      <c r="AE1" s="4">
        <v>31</v>
      </c>
      <c r="AF1" s="4">
        <v>32</v>
      </c>
      <c r="AG1" s="4">
        <v>33</v>
      </c>
      <c r="AH1" s="4">
        <v>34</v>
      </c>
      <c r="AI1" s="4">
        <v>35</v>
      </c>
      <c r="AJ1" s="4">
        <v>36</v>
      </c>
      <c r="AK1" s="4">
        <v>37</v>
      </c>
      <c r="AL1" s="4">
        <v>38</v>
      </c>
      <c r="AM1" s="4">
        <v>39</v>
      </c>
      <c r="AN1" s="4">
        <v>40</v>
      </c>
      <c r="AO1" s="4">
        <v>41</v>
      </c>
      <c r="AP1" s="4">
        <v>42</v>
      </c>
      <c r="AQ1" s="4">
        <v>43</v>
      </c>
      <c r="AR1" s="4">
        <v>44</v>
      </c>
      <c r="AS1" s="4">
        <v>45</v>
      </c>
      <c r="AT1" s="4">
        <v>46</v>
      </c>
      <c r="AU1" s="4">
        <v>47</v>
      </c>
      <c r="AV1" s="4">
        <v>48</v>
      </c>
      <c r="AW1" s="4">
        <v>49</v>
      </c>
      <c r="AX1" s="4">
        <v>50</v>
      </c>
      <c r="AY1" s="4">
        <v>51</v>
      </c>
      <c r="AZ1" s="4">
        <v>52</v>
      </c>
      <c r="BA1" s="4">
        <v>53</v>
      </c>
      <c r="BB1" s="4">
        <v>54</v>
      </c>
      <c r="BC1" s="4">
        <v>55</v>
      </c>
    </row>
    <row r="2" spans="1:55" ht="31">
      <c r="A2" s="4" t="s">
        <v>244</v>
      </c>
      <c r="B2" s="4" t="s">
        <v>270</v>
      </c>
      <c r="C2" s="4" t="s">
        <v>390</v>
      </c>
      <c r="D2" s="4" t="s">
        <v>269</v>
      </c>
      <c r="E2" s="4" t="s">
        <v>268</v>
      </c>
      <c r="F2" s="4" t="s">
        <v>267</v>
      </c>
      <c r="G2" s="4" t="s">
        <v>266</v>
      </c>
      <c r="H2" s="4" t="s">
        <v>265</v>
      </c>
      <c r="I2" s="4" t="s">
        <v>264</v>
      </c>
      <c r="K2" s="4" t="s">
        <v>235</v>
      </c>
      <c r="L2" s="4" t="s">
        <v>236</v>
      </c>
      <c r="M2" s="5" t="s">
        <v>237</v>
      </c>
      <c r="P2" s="6" t="s">
        <v>344</v>
      </c>
      <c r="Q2" s="6" t="s">
        <v>239</v>
      </c>
      <c r="R2" s="6" t="s">
        <v>240</v>
      </c>
      <c r="S2" s="6" t="s">
        <v>241</v>
      </c>
      <c r="T2" s="6" t="s">
        <v>242</v>
      </c>
      <c r="V2" s="5" t="s">
        <v>243</v>
      </c>
      <c r="X2" s="9" t="s">
        <v>263</v>
      </c>
      <c r="Y2" s="9" t="s">
        <v>262</v>
      </c>
      <c r="Z2" s="9" t="s">
        <v>261</v>
      </c>
      <c r="AA2" s="9" t="s">
        <v>260</v>
      </c>
      <c r="AC2" s="4" t="s">
        <v>259</v>
      </c>
      <c r="AD2" s="4" t="s">
        <v>258</v>
      </c>
      <c r="AE2" s="4" t="s">
        <v>257</v>
      </c>
      <c r="AF2" s="4" t="s">
        <v>256</v>
      </c>
      <c r="AH2" s="4" t="s">
        <v>255</v>
      </c>
      <c r="AI2" s="4" t="s">
        <v>254</v>
      </c>
      <c r="AJ2" s="4" t="s">
        <v>250</v>
      </c>
      <c r="AK2" s="4" t="s">
        <v>253</v>
      </c>
      <c r="AM2" s="4" t="s">
        <v>252</v>
      </c>
      <c r="AN2" s="4" t="s">
        <v>251</v>
      </c>
      <c r="AO2" s="4" t="s">
        <v>250</v>
      </c>
      <c r="AP2" s="4" t="s">
        <v>249</v>
      </c>
      <c r="AR2" s="4" t="s">
        <v>248</v>
      </c>
      <c r="AS2" s="4" t="s">
        <v>247</v>
      </c>
      <c r="AT2" s="4" t="s">
        <v>246</v>
      </c>
      <c r="AV2" s="5" t="s">
        <v>245</v>
      </c>
    </row>
    <row r="3" spans="1:55">
      <c r="A3" s="4">
        <v>0</v>
      </c>
      <c r="B3" s="4">
        <v>0</v>
      </c>
      <c r="C3" s="4">
        <v>0</v>
      </c>
      <c r="D3" s="4">
        <v>0</v>
      </c>
      <c r="E3" s="4">
        <v>0</v>
      </c>
      <c r="F3" s="4">
        <v>0</v>
      </c>
      <c r="G3" s="4">
        <v>0</v>
      </c>
      <c r="H3" s="4">
        <v>0</v>
      </c>
      <c r="I3" s="4">
        <v>0</v>
      </c>
      <c r="J3" s="4">
        <v>0</v>
      </c>
      <c r="K3" s="4">
        <v>0</v>
      </c>
      <c r="L3" s="4">
        <v>0</v>
      </c>
      <c r="M3" s="4">
        <v>0</v>
      </c>
      <c r="N3" s="4">
        <v>0</v>
      </c>
      <c r="O3" s="4">
        <v>0</v>
      </c>
      <c r="P3" s="4">
        <v>0</v>
      </c>
      <c r="Q3" s="4">
        <v>0</v>
      </c>
      <c r="R3" s="4">
        <v>0</v>
      </c>
      <c r="S3" s="4">
        <v>0</v>
      </c>
      <c r="T3" s="4">
        <v>0</v>
      </c>
      <c r="U3" s="4">
        <v>0</v>
      </c>
      <c r="V3" s="4">
        <v>0</v>
      </c>
      <c r="W3" s="4">
        <v>0</v>
      </c>
      <c r="X3" s="4">
        <v>0</v>
      </c>
      <c r="Y3" s="4">
        <v>0</v>
      </c>
      <c r="Z3" s="4">
        <v>0</v>
      </c>
      <c r="AA3" s="4">
        <v>0</v>
      </c>
      <c r="AB3" s="4">
        <v>0</v>
      </c>
      <c r="AC3" s="4">
        <v>0</v>
      </c>
      <c r="AD3" s="4">
        <v>0</v>
      </c>
      <c r="AE3" s="4">
        <v>0</v>
      </c>
      <c r="AF3" s="4">
        <v>0</v>
      </c>
      <c r="AG3" s="4">
        <v>0</v>
      </c>
      <c r="AH3" s="4">
        <v>0</v>
      </c>
      <c r="AI3" s="4">
        <v>0</v>
      </c>
      <c r="AJ3" s="4">
        <v>0</v>
      </c>
      <c r="AK3" s="4">
        <v>0</v>
      </c>
      <c r="AL3" s="4">
        <v>0</v>
      </c>
      <c r="AM3" s="4">
        <v>0</v>
      </c>
      <c r="AN3" s="4">
        <v>0</v>
      </c>
      <c r="AO3" s="4">
        <v>0</v>
      </c>
      <c r="AP3" s="4">
        <v>0</v>
      </c>
      <c r="AR3" s="4">
        <v>0</v>
      </c>
      <c r="AS3" s="4">
        <v>0</v>
      </c>
      <c r="AT3" s="4">
        <v>0</v>
      </c>
      <c r="AV3" s="4">
        <v>0</v>
      </c>
    </row>
    <row r="4" spans="1:55">
      <c r="A4" s="4">
        <v>100</v>
      </c>
      <c r="B4" s="4">
        <v>80</v>
      </c>
      <c r="C4" s="4">
        <v>1E-4</v>
      </c>
      <c r="D4" s="4">
        <v>0</v>
      </c>
      <c r="E4" s="8">
        <v>1.6</v>
      </c>
      <c r="F4" s="4">
        <v>0</v>
      </c>
      <c r="G4" s="8">
        <v>1.6</v>
      </c>
      <c r="H4" s="4">
        <v>5.0141239141170661</v>
      </c>
      <c r="I4" s="8">
        <v>1.6</v>
      </c>
      <c r="K4" s="4">
        <v>100</v>
      </c>
      <c r="L4" s="4">
        <v>15</v>
      </c>
      <c r="M4" s="5">
        <v>0</v>
      </c>
      <c r="P4" s="7">
        <f>(2.1*(_xlfn.NORM.DIST((85+M4),$K4,$L4,TRUE)-_xlfn.NORM.DIST((70+M4),$K4,$L4,TRUE)-(_xlfn.NORM.DIST((85),$K4,$L4,TRUE)-_xlfn.NORM.DIST((70),$K4,$L4,TRUE))))*0.0034</f>
        <v>0</v>
      </c>
      <c r="Q4" s="7">
        <f>(2.1*(_xlfn.NORM.DIST((69+$M4),$K4,$L4,TRUE)-_xlfn.NORM.DIST((50+$M4),$K4,$L4,TRUE)-(_xlfn.NORM.DIST(69,$K4,$L4,TRUE)-_xlfn.NORM.DIST(50,$K4,$L4,TRUE))))*0.127</f>
        <v>0</v>
      </c>
      <c r="R4" s="7">
        <f>(2.1*(_xlfn.NORM.DIST((49+$M4),$K4,$L4,TRUE)-_xlfn.NORM.DIST((35+$M4),$K4,$L4,TRUE)-(_xlfn.NORM.DIST(49,$K4,$L4,TRUE)-_xlfn.NORM.DIST(35,$K4,$L4,TRUE))))*0.293</f>
        <v>0</v>
      </c>
      <c r="S4" s="7">
        <f>(2.1*(_xlfn.NORM.DIST((34+$M4),$K4,$L4,TRUE)-_xlfn.NORM.DIST((20+$M4),$K4,$L4,TRUE)-(_xlfn.NORM.DIST(34,$K4,$L4,TRUE)-_xlfn.NORM.DIST(20,$K4,$L4,TRUE))))*0.383</f>
        <v>0</v>
      </c>
      <c r="T4" s="7">
        <f>(2.1*(_xlfn.NORM.DIST((34+$M4),$K4,$L4,TRUE)-(_xlfn.NORM.DIST(34,$K4,$L4,TRUE))))*0.444</f>
        <v>0</v>
      </c>
      <c r="V4" s="5">
        <f t="shared" ref="V4:V35" si="0">SUM(P4:T4)</f>
        <v>0</v>
      </c>
      <c r="X4" s="4">
        <f t="shared" ref="X4:X35" si="1">(1-LOGNORMDIST(5,LN(F5),LN(G4)))-(1-LOGNORMDIST(10,LN(F5),LN(G4)))</f>
        <v>8.9152409952786282E-3</v>
      </c>
      <c r="Y4" s="4">
        <f t="shared" ref="Y4:Y35" si="2">(1-LOGNORMDIST(10,LN(F5),LN(G4)))-(1-LOGNORMDIST(15,LN(F5),LN(G4)))</f>
        <v>5.9902150645441132E-5</v>
      </c>
      <c r="Z4" s="4">
        <f t="shared" ref="Z4:Z35" si="3">(1-LOGNORMDIST(15,LN(F5),LN(G4)))-(1-LOGNORMDIST(20,LN(F5),LN(G4)))</f>
        <v>1.2222902094904953E-6</v>
      </c>
      <c r="AA4" s="4">
        <f t="shared" ref="AA4:AA35" si="4">1-LOGNORMDIST(20,LN(F5),LN(G4))</f>
        <v>5.2998974875428928E-8</v>
      </c>
      <c r="AC4" s="4">
        <f t="shared" ref="AC4:AC35" si="5">((X4*0.021)+(Y4*0.063)+(Z4*0.107)+(AA4*0.13))/(((X4*0.021)+(Y4*0.063)+(Z4*0.107)+(AA4*0.13))+1)</f>
        <v>1.9109504701405783E-4</v>
      </c>
      <c r="AD4" s="4">
        <f t="shared" ref="AD4:AD35" si="6">((X4*0.028)+(Y4*0.086)+(Z4*0.148)+(AA4*0.18))/(((X4*0.028)+(Y4*0.086)+(Z4*0.148)+(AA4*0.18))+1)</f>
        <v>2.5490377908636444E-4</v>
      </c>
      <c r="AE4" s="4">
        <f t="shared" ref="AE4:AE35" si="7">((X4*0.049)+(Y4*0.155)+(Z4*0.271)+(AA4*0.333))/(((X4*0.049)+(Y4*0.155)+(Z4*0.271)+(AA4*0.333))+1)</f>
        <v>4.4628127552304148E-4</v>
      </c>
      <c r="AF4" s="4">
        <f t="shared" ref="AF4:AF35" si="8">((X4*0.023)+(Y4*0.072)+(Z4*0.122)+(AA4*0.148))/(((X4*0.023)+(Y4*0.072)+(Z4*0.122)+(AA4*0.148))+1)</f>
        <v>2.0947657136392048E-4</v>
      </c>
      <c r="AH4" s="4">
        <f t="shared" ref="AH4:AH35" si="9">((X4*0.013)+(Y4*0.04)+(Z4*0.067)+(AA4*0.081))/(((X4*0.013)+(Y4*0.04)+(Z4*0.067)+(AA4*0.081))+1)</f>
        <v>1.1836639306385279E-4</v>
      </c>
      <c r="AI4" s="4">
        <f t="shared" ref="AI4:AI35" si="10">((X4*0.018)+(Y4*0.054)+(Z4*0.92)+(AA4*0.112))/(((X4*0.018)+(Y4*0.054)+(Z4*0.92)+(AA4*0.112))+1)</f>
        <v>1.6481232934632947E-4</v>
      </c>
      <c r="AJ4" s="4">
        <f t="shared" ref="AJ4:AJ35" si="11">((X4*0.031)+(Y4*0.096)+(Z4*0.166)+(AA4*0.202))/(((X4*0.031)+(Y4*0.096)+(Z4*0.166)+(AA4*0.202))+1)</f>
        <v>2.822569917804073E-4</v>
      </c>
      <c r="AK4" s="4">
        <f t="shared" ref="AK4:AK35" si="12">((X4*0.015)+(Y4*0.045)+(Z4*0.076)+(AA4*0.093))/(((X4*0.015)+(Y4*0.045)+(Z4*0.076)+(AA4*0.093))+1)</f>
        <v>1.3650339894704549E-4</v>
      </c>
      <c r="AM4" s="4">
        <f t="shared" ref="AM4:AM35" si="13">AC4+AH4</f>
        <v>3.0946144007791061E-4</v>
      </c>
      <c r="AN4" s="4">
        <f t="shared" ref="AN4:AN35" si="14">AD4+AI4</f>
        <v>4.1971610843269391E-4</v>
      </c>
      <c r="AO4" s="4">
        <f t="shared" ref="AO4:AO35" si="15">AE4+AJ4</f>
        <v>7.2853826730344884E-4</v>
      </c>
      <c r="AP4" s="4">
        <f t="shared" ref="AP4:AP35" si="16">AF4+AK4</f>
        <v>3.4597997031096596E-4</v>
      </c>
      <c r="AR4" s="4">
        <f>(351021.9/49700000)*AM4</f>
        <v>2.1856688666576326E-6</v>
      </c>
      <c r="AS4" s="4">
        <f t="shared" ref="AS4:AS35" si="17">(74022.79/49700000)*AO4</f>
        <v>1.0850791784218722E-6</v>
      </c>
      <c r="AT4" s="4">
        <f t="shared" ref="AT4:AT35" si="18">((950651.56-74022.79-351021.9)/49700000)*(AN4+AP4)</f>
        <v>8.0976885174995692E-6</v>
      </c>
      <c r="AV4" s="5">
        <f t="shared" ref="AV4:AV35" si="19">AT4+AS4+AR4</f>
        <v>1.1368436562579075E-5</v>
      </c>
    </row>
    <row r="5" spans="1:55">
      <c r="A5" s="4">
        <v>200</v>
      </c>
      <c r="B5" s="4">
        <v>150</v>
      </c>
      <c r="C5" s="4">
        <v>5.0000000000000001E-3</v>
      </c>
      <c r="D5" s="4">
        <v>1.3928571428571428</v>
      </c>
      <c r="E5" s="8">
        <v>1.6</v>
      </c>
      <c r="F5" s="4">
        <v>1.6439999999999999</v>
      </c>
      <c r="G5" s="8">
        <v>1.6</v>
      </c>
      <c r="H5" s="4">
        <v>5.4533172496601674</v>
      </c>
      <c r="I5" s="8">
        <v>1.6</v>
      </c>
      <c r="K5" s="4">
        <v>99.027932219999997</v>
      </c>
      <c r="L5" s="4">
        <v>15</v>
      </c>
      <c r="M5" s="5">
        <v>0.97206778000000327</v>
      </c>
      <c r="P5" s="7">
        <f t="shared" ref="P5:P68" si="20">(2.1*(_xlfn.NORM.DIST((85+M5),$K5,$L5,TRUE)-_xlfn.NORM.DIST((70+M5),$K5,$L5,TRUE)-(_xlfn.NORM.DIST((85),$K5,$L5,TRUE)-_xlfn.NORM.DIST((70),$K5,$L5,TRUE))))*0.0034</f>
        <v>9.2591459308514476E-5</v>
      </c>
      <c r="Q5" s="7">
        <f t="shared" ref="Q5:Q68" si="21">(2.1*(_xlfn.NORM.DIST((69+$M5),$K5,$L5,TRUE)-_xlfn.NORM.DIST((50+$M5),$K5,$L5,TRUE)-(_xlfn.NORM.DIST(69,$K5,$L5,TRUE)-_xlfn.NORM.DIST(50,$K5,$L5,TRUE))))*0.127</f>
        <v>9.5521245702481826E-4</v>
      </c>
      <c r="R5" s="7">
        <f t="shared" ref="R5:R68" si="22">(2.1*(_xlfn.NORM.DIST((49+$M5),$K5,$L5,TRUE)-_xlfn.NORM.DIST((35+$M5),$K5,$L5,TRUE)-(_xlfn.NORM.DIST(49,$K5,$L5,TRUE)-_xlfn.NORM.DIST(35,$K5,$L5,TRUE))))*0.293</f>
        <v>6.6149545142648585E-5</v>
      </c>
      <c r="S5" s="7">
        <f t="shared" ref="S5:S68" si="23">(2.1*(_xlfn.NORM.DIST((34+$M5),$K5,$L5,TRUE)-_xlfn.NORM.DIST((20+$M5),$K5,$L5,TRUE)-(_xlfn.NORM.DIST(34,$K5,$L5,TRUE)-_xlfn.NORM.DIST(20,$K5,$L5,TRUE))))*0.383</f>
        <v>1.9673914457123227E-6</v>
      </c>
      <c r="T5" s="7">
        <f t="shared" ref="T5:T68" si="24">(2.1*(_xlfn.NORM.DIST((34+$M5),$K5,$L5,TRUE)-(_xlfn.NORM.DIST(34,$K5,$L5,TRUE))))*0.444</f>
        <v>2.3076878598915018E-6</v>
      </c>
      <c r="V5" s="5">
        <f t="shared" si="0"/>
        <v>1.1182285407815851E-3</v>
      </c>
      <c r="X5" s="4">
        <f t="shared" si="1"/>
        <v>1.4212168121128799E-2</v>
      </c>
      <c r="Y5" s="4">
        <f t="shared" si="2"/>
        <v>1.217659415279071E-4</v>
      </c>
      <c r="Z5" s="4">
        <f t="shared" si="3"/>
        <v>2.8749036338204803E-6</v>
      </c>
      <c r="AA5" s="4">
        <f t="shared" si="4"/>
        <v>1.3922299135771254E-7</v>
      </c>
      <c r="AC5" s="4">
        <f t="shared" si="5"/>
        <v>3.0635861417489579E-4</v>
      </c>
      <c r="AD5" s="4">
        <f t="shared" si="6"/>
        <v>4.0869602350622128E-4</v>
      </c>
      <c r="AE5" s="4">
        <f t="shared" si="7"/>
        <v>7.1558299330959157E-4</v>
      </c>
      <c r="AF5" s="4">
        <f t="shared" si="8"/>
        <v>3.3590548741175517E-4</v>
      </c>
      <c r="AH5" s="4">
        <f t="shared" si="9"/>
        <v>1.8979668922001482E-4</v>
      </c>
      <c r="AI5" s="4">
        <f t="shared" si="10"/>
        <v>2.6498465586180579E-4</v>
      </c>
      <c r="AJ5" s="4">
        <f t="shared" si="11"/>
        <v>4.5256718939277481E-4</v>
      </c>
      <c r="AK5" s="4">
        <f t="shared" si="12"/>
        <v>2.1884552575236984E-4</v>
      </c>
      <c r="AM5" s="4">
        <f t="shared" si="13"/>
        <v>4.9615530339491062E-4</v>
      </c>
      <c r="AN5" s="4">
        <f t="shared" si="14"/>
        <v>6.7368067936802707E-4</v>
      </c>
      <c r="AO5" s="4">
        <f t="shared" si="15"/>
        <v>1.1681501827023664E-3</v>
      </c>
      <c r="AP5" s="4">
        <f t="shared" si="16"/>
        <v>5.5475101316412498E-4</v>
      </c>
      <c r="AR5" s="4">
        <f t="shared" ref="AR5:AR35" si="25">(351021.9/49700000)*AM5</f>
        <v>3.5042530642406036E-6</v>
      </c>
      <c r="AS5" s="4">
        <f t="shared" si="17"/>
        <v>1.739833715546054E-6</v>
      </c>
      <c r="AT5" s="4">
        <f t="shared" si="18"/>
        <v>1.2991391084922069E-5</v>
      </c>
      <c r="AV5" s="5">
        <f t="shared" si="19"/>
        <v>1.8235477864708728E-5</v>
      </c>
    </row>
    <row r="6" spans="1:55">
      <c r="A6" s="4">
        <v>300</v>
      </c>
      <c r="B6" s="4">
        <v>220</v>
      </c>
      <c r="C6" s="4">
        <v>0.01</v>
      </c>
      <c r="D6" s="4">
        <v>2.3057142857142856</v>
      </c>
      <c r="E6" s="8">
        <v>1.6</v>
      </c>
      <c r="F6" s="4">
        <v>1.788</v>
      </c>
      <c r="G6" s="8">
        <v>1.6</v>
      </c>
      <c r="H6" s="4">
        <v>5.8925105852032678</v>
      </c>
      <c r="I6" s="8">
        <v>1.6</v>
      </c>
      <c r="K6" s="4">
        <v>98.312447891000005</v>
      </c>
      <c r="L6" s="4">
        <v>15</v>
      </c>
      <c r="M6" s="5">
        <v>1.687552108999995</v>
      </c>
      <c r="P6" s="7">
        <f t="shared" si="20"/>
        <v>1.6681420537511586E-4</v>
      </c>
      <c r="Q6" s="7">
        <f t="shared" si="21"/>
        <v>1.8988663406074796E-3</v>
      </c>
      <c r="R6" s="7">
        <f t="shared" si="22"/>
        <v>1.4523028190656096E-4</v>
      </c>
      <c r="S6" s="7">
        <f t="shared" si="23"/>
        <v>4.6580249728417386E-6</v>
      </c>
      <c r="T6" s="7">
        <f t="shared" si="24"/>
        <v>5.4683892089049004E-6</v>
      </c>
      <c r="V6" s="5">
        <f t="shared" si="0"/>
        <v>2.2210372420709032E-3</v>
      </c>
      <c r="X6" s="4">
        <f t="shared" si="1"/>
        <v>2.1295002070501279E-2</v>
      </c>
      <c r="Y6" s="4">
        <f t="shared" si="2"/>
        <v>2.2797608614266718E-4</v>
      </c>
      <c r="Z6" s="4">
        <f t="shared" si="3"/>
        <v>6.1553542157755103E-6</v>
      </c>
      <c r="AA6" s="4">
        <f t="shared" si="4"/>
        <v>3.3017207501373491E-7</v>
      </c>
      <c r="AC6" s="4">
        <f t="shared" si="5"/>
        <v>4.6204549745077844E-4</v>
      </c>
      <c r="AD6" s="4">
        <f t="shared" si="6"/>
        <v>6.1645617215847479E-4</v>
      </c>
      <c r="AE6" s="4">
        <f t="shared" si="7"/>
        <v>1.0794030731225261E-3</v>
      </c>
      <c r="AF6" s="4">
        <f t="shared" si="8"/>
        <v>5.0674222662984208E-4</v>
      </c>
      <c r="AH6" s="4">
        <f t="shared" si="9"/>
        <v>2.8631122543811265E-4</v>
      </c>
      <c r="AI6" s="4">
        <f t="shared" si="10"/>
        <v>4.0115965741674387E-4</v>
      </c>
      <c r="AJ6" s="4">
        <f t="shared" si="11"/>
        <v>6.8265291866302473E-4</v>
      </c>
      <c r="AK6" s="4">
        <f t="shared" si="12"/>
        <v>3.3007348337999771E-4</v>
      </c>
      <c r="AM6" s="4">
        <f t="shared" si="13"/>
        <v>7.4835672288889104E-4</v>
      </c>
      <c r="AN6" s="4">
        <f t="shared" si="14"/>
        <v>1.0176158295752188E-3</v>
      </c>
      <c r="AO6" s="4">
        <f t="shared" si="15"/>
        <v>1.7620559917855508E-3</v>
      </c>
      <c r="AP6" s="4">
        <f t="shared" si="16"/>
        <v>8.3681571000983985E-4</v>
      </c>
      <c r="AR6" s="4">
        <f t="shared" si="25"/>
        <v>5.2855050049543668E-6</v>
      </c>
      <c r="AS6" s="4">
        <f t="shared" si="17"/>
        <v>2.6243923671666709E-6</v>
      </c>
      <c r="AT6" s="4">
        <f t="shared" si="18"/>
        <v>1.9611709399408122E-5</v>
      </c>
      <c r="AV6" s="5">
        <f t="shared" si="19"/>
        <v>2.7521606771529159E-5</v>
      </c>
    </row>
    <row r="7" spans="1:55">
      <c r="A7" s="4">
        <v>400</v>
      </c>
      <c r="B7" s="4">
        <v>290</v>
      </c>
      <c r="C7" s="4">
        <v>1.4999999999999999E-2</v>
      </c>
      <c r="D7" s="4">
        <v>3.1842857142857142</v>
      </c>
      <c r="E7" s="8">
        <v>1.6</v>
      </c>
      <c r="F7" s="4">
        <v>1.9319999999999999</v>
      </c>
      <c r="G7" s="8">
        <v>1.6</v>
      </c>
      <c r="H7" s="4">
        <v>6.331703920746369</v>
      </c>
      <c r="I7" s="8">
        <v>1.6</v>
      </c>
      <c r="K7" s="4">
        <v>97.658317281999999</v>
      </c>
      <c r="L7" s="4">
        <v>15</v>
      </c>
      <c r="M7" s="5">
        <v>2.3416827179999999</v>
      </c>
      <c r="P7" s="7">
        <f t="shared" si="20"/>
        <v>2.3778759404523338E-4</v>
      </c>
      <c r="Q7" s="7">
        <f t="shared" si="21"/>
        <v>2.9685468503944977E-3</v>
      </c>
      <c r="R7" s="7">
        <f t="shared" si="22"/>
        <v>2.4891630842804912E-4</v>
      </c>
      <c r="S7" s="7">
        <f t="shared" si="23"/>
        <v>8.5643313151552998E-6</v>
      </c>
      <c r="T7" s="7">
        <f t="shared" si="24"/>
        <v>1.0062873468485159E-5</v>
      </c>
      <c r="V7" s="5">
        <f t="shared" si="0"/>
        <v>3.4738779576514206E-3</v>
      </c>
      <c r="X7" s="4">
        <f t="shared" si="1"/>
        <v>3.031741131675425E-2</v>
      </c>
      <c r="Y7" s="4">
        <f t="shared" si="2"/>
        <v>3.985735805249746E-4</v>
      </c>
      <c r="Z7" s="4">
        <f t="shared" si="3"/>
        <v>1.2183662060682998E-5</v>
      </c>
      <c r="AA7" s="4">
        <f t="shared" si="4"/>
        <v>7.1877303353673483E-7</v>
      </c>
      <c r="AC7" s="4">
        <f t="shared" si="5"/>
        <v>6.6273335877912207E-4</v>
      </c>
      <c r="AD7" s="4">
        <f t="shared" si="6"/>
        <v>8.8431470127716251E-4</v>
      </c>
      <c r="AE7" s="4">
        <f t="shared" si="7"/>
        <v>1.5484717001060851E-3</v>
      </c>
      <c r="AF7" s="4">
        <f t="shared" si="8"/>
        <v>7.2706154016251984E-4</v>
      </c>
      <c r="AH7" s="4">
        <f t="shared" si="9"/>
        <v>4.1077501086197695E-4</v>
      </c>
      <c r="AI7" s="4">
        <f t="shared" si="10"/>
        <v>5.7819135008397649E-4</v>
      </c>
      <c r="AJ7" s="4">
        <f t="shared" si="11"/>
        <v>9.7931050541111612E-4</v>
      </c>
      <c r="AK7" s="4">
        <f t="shared" si="12"/>
        <v>4.7346550930831959E-4</v>
      </c>
      <c r="AM7" s="4">
        <f t="shared" si="13"/>
        <v>1.0735083696410989E-3</v>
      </c>
      <c r="AN7" s="4">
        <f t="shared" si="14"/>
        <v>1.462506051361139E-3</v>
      </c>
      <c r="AO7" s="4">
        <f t="shared" si="15"/>
        <v>2.5277822055172015E-3</v>
      </c>
      <c r="AP7" s="4">
        <f t="shared" si="16"/>
        <v>1.2005270494708394E-3</v>
      </c>
      <c r="AR7" s="4">
        <f t="shared" si="25"/>
        <v>7.581990896927986E-6</v>
      </c>
      <c r="AS7" s="4">
        <f t="shared" si="17"/>
        <v>3.7648589811818232E-6</v>
      </c>
      <c r="AT7" s="4">
        <f t="shared" si="18"/>
        <v>2.8163148749188945E-5</v>
      </c>
      <c r="AV7" s="5">
        <f t="shared" si="19"/>
        <v>3.9509998627298758E-5</v>
      </c>
    </row>
    <row r="8" spans="1:55">
      <c r="A8" s="4">
        <v>500</v>
      </c>
      <c r="B8" s="4">
        <v>360</v>
      </c>
      <c r="C8" s="4">
        <v>0.02</v>
      </c>
      <c r="D8" s="4">
        <v>4.0285714285714285</v>
      </c>
      <c r="E8" s="8">
        <v>1.6</v>
      </c>
      <c r="F8" s="4">
        <v>2.0760000000000001</v>
      </c>
      <c r="G8" s="8">
        <v>1.6</v>
      </c>
      <c r="H8" s="4">
        <v>6.7708972562894703</v>
      </c>
      <c r="I8" s="8">
        <v>1.6</v>
      </c>
      <c r="K8" s="4">
        <v>97.169097785999995</v>
      </c>
      <c r="L8" s="4">
        <v>15</v>
      </c>
      <c r="M8" s="5">
        <v>2.8309022140000053</v>
      </c>
      <c r="P8" s="7">
        <f t="shared" si="20"/>
        <v>2.919760863503739E-4</v>
      </c>
      <c r="Q8" s="7">
        <f t="shared" si="21"/>
        <v>3.9117601625670096E-3</v>
      </c>
      <c r="R8" s="7">
        <f t="shared" si="22"/>
        <v>3.5160720724613479E-4</v>
      </c>
      <c r="S8" s="7">
        <f t="shared" si="23"/>
        <v>1.2758938958171972E-5</v>
      </c>
      <c r="T8" s="7">
        <f t="shared" si="24"/>
        <v>1.5001743142804602E-5</v>
      </c>
      <c r="V8" s="5">
        <f t="shared" si="0"/>
        <v>4.5831041382644955E-3</v>
      </c>
      <c r="X8" s="4">
        <f t="shared" si="1"/>
        <v>4.1357309331343073E-2</v>
      </c>
      <c r="Y8" s="4">
        <f t="shared" si="2"/>
        <v>6.5772782058770574E-4</v>
      </c>
      <c r="Z8" s="4">
        <f t="shared" si="3"/>
        <v>2.2565758076686926E-5</v>
      </c>
      <c r="AA8" s="4">
        <f t="shared" si="4"/>
        <v>1.4552380210863802E-6</v>
      </c>
      <c r="AC8" s="4">
        <f t="shared" si="5"/>
        <v>9.117120882564002E-4</v>
      </c>
      <c r="AD8" s="4">
        <f t="shared" si="6"/>
        <v>1.2166887939689781E-3</v>
      </c>
      <c r="AE8" s="4">
        <f t="shared" si="7"/>
        <v>2.1305071323376376E-3</v>
      </c>
      <c r="AF8" s="4">
        <f t="shared" si="8"/>
        <v>1.0005408308349753E-3</v>
      </c>
      <c r="AH8" s="4">
        <f t="shared" si="9"/>
        <v>5.6526420985744479E-4</v>
      </c>
      <c r="AI8" s="4">
        <f t="shared" si="10"/>
        <v>8.0023147110252612E-4</v>
      </c>
      <c r="AJ8" s="4">
        <f t="shared" si="11"/>
        <v>1.3474402889296802E-3</v>
      </c>
      <c r="AK8" s="4">
        <f t="shared" si="12"/>
        <v>6.5138315007615523E-4</v>
      </c>
      <c r="AM8" s="4">
        <f t="shared" si="13"/>
        <v>1.4769762981138449E-3</v>
      </c>
      <c r="AN8" s="4">
        <f t="shared" si="14"/>
        <v>2.016920265071504E-3</v>
      </c>
      <c r="AO8" s="4">
        <f t="shared" si="15"/>
        <v>3.4779474212673178E-3</v>
      </c>
      <c r="AP8" s="4">
        <f t="shared" si="16"/>
        <v>1.6519239809111306E-3</v>
      </c>
      <c r="AR8" s="4">
        <f t="shared" si="25"/>
        <v>1.0431610189514854E-5</v>
      </c>
      <c r="AS8" s="4">
        <f t="shared" si="17"/>
        <v>5.1800275974952149E-6</v>
      </c>
      <c r="AT8" s="4">
        <f t="shared" si="18"/>
        <v>3.8800195988902266E-5</v>
      </c>
      <c r="AV8" s="5">
        <f t="shared" si="19"/>
        <v>5.4411833775912331E-5</v>
      </c>
    </row>
    <row r="9" spans="1:55">
      <c r="A9" s="4">
        <v>600</v>
      </c>
      <c r="B9" s="4">
        <v>430</v>
      </c>
      <c r="C9" s="4">
        <v>2.5000000000000001E-2</v>
      </c>
      <c r="D9" s="4">
        <v>4.8414285714285716</v>
      </c>
      <c r="E9" s="8">
        <v>1.6</v>
      </c>
      <c r="F9" s="4">
        <v>2.2200000000000002</v>
      </c>
      <c r="G9" s="8">
        <v>1.6</v>
      </c>
      <c r="H9" s="4">
        <v>7.2100905918325697</v>
      </c>
      <c r="I9" s="8">
        <v>1.6</v>
      </c>
      <c r="K9" s="4">
        <v>96.743192274999998</v>
      </c>
      <c r="L9" s="4">
        <v>15</v>
      </c>
      <c r="M9" s="5">
        <v>3.2568077250000016</v>
      </c>
      <c r="P9" s="7">
        <f t="shared" si="20"/>
        <v>3.3936642909967611E-4</v>
      </c>
      <c r="Q9" s="7">
        <f t="shared" si="21"/>
        <v>4.8406470240930435E-3</v>
      </c>
      <c r="R9" s="7">
        <f t="shared" si="22"/>
        <v>4.6244353661385734E-4</v>
      </c>
      <c r="S9" s="7">
        <f t="shared" si="23"/>
        <v>1.7585092661893395E-5</v>
      </c>
      <c r="T9" s="7">
        <f t="shared" si="24"/>
        <v>2.0689381668742697E-5</v>
      </c>
      <c r="V9" s="5">
        <f t="shared" si="0"/>
        <v>5.6807314641372127E-3</v>
      </c>
      <c r="X9" s="4">
        <f t="shared" si="1"/>
        <v>5.4417058213868219E-2</v>
      </c>
      <c r="Y9" s="4">
        <f t="shared" si="2"/>
        <v>1.0332437525079063E-3</v>
      </c>
      <c r="Z9" s="4">
        <f t="shared" si="3"/>
        <v>3.9486416913203648E-5</v>
      </c>
      <c r="AA9" s="4">
        <f t="shared" si="4"/>
        <v>2.768746607206829E-6</v>
      </c>
      <c r="AC9" s="4">
        <f t="shared" si="5"/>
        <v>1.2109693378555464E-3</v>
      </c>
      <c r="AD9" s="4">
        <f t="shared" si="6"/>
        <v>1.6162624235702631E-3</v>
      </c>
      <c r="AE9" s="4">
        <f t="shared" si="7"/>
        <v>2.830178799858747E-3</v>
      </c>
      <c r="AF9" s="4">
        <f t="shared" si="8"/>
        <v>1.3294432343359166E-3</v>
      </c>
      <c r="AH9" s="4">
        <f t="shared" si="9"/>
        <v>7.5105685491027425E-4</v>
      </c>
      <c r="AI9" s="4">
        <f t="shared" si="10"/>
        <v>1.0707919890999395E-3</v>
      </c>
      <c r="AJ9" s="4">
        <f t="shared" si="11"/>
        <v>1.7900243040260713E-3</v>
      </c>
      <c r="AK9" s="4">
        <f t="shared" si="12"/>
        <v>8.6526097826862308E-4</v>
      </c>
      <c r="AM9" s="4">
        <f t="shared" si="13"/>
        <v>1.9620261927658206E-3</v>
      </c>
      <c r="AN9" s="4">
        <f t="shared" si="14"/>
        <v>2.6870544126702026E-3</v>
      </c>
      <c r="AO9" s="4">
        <f t="shared" si="15"/>
        <v>4.6202031038848181E-3</v>
      </c>
      <c r="AP9" s="4">
        <f t="shared" si="16"/>
        <v>2.1947042126045395E-3</v>
      </c>
      <c r="AR9" s="4">
        <f t="shared" si="25"/>
        <v>1.3857427807533696E-5</v>
      </c>
      <c r="AS9" s="4">
        <f t="shared" si="17"/>
        <v>6.8812942478111472E-6</v>
      </c>
      <c r="AT9" s="4">
        <f t="shared" si="18"/>
        <v>5.1627482316421725E-5</v>
      </c>
      <c r="AV9" s="5">
        <f t="shared" si="19"/>
        <v>7.2366204371766572E-5</v>
      </c>
    </row>
    <row r="10" spans="1:55">
      <c r="A10" s="4">
        <v>700</v>
      </c>
      <c r="B10" s="4">
        <v>500</v>
      </c>
      <c r="C10" s="4">
        <v>0.03</v>
      </c>
      <c r="D10" s="4">
        <v>5.6257142857142863</v>
      </c>
      <c r="E10" s="8">
        <v>1.6</v>
      </c>
      <c r="F10" s="4">
        <v>2.3639999999999999</v>
      </c>
      <c r="G10" s="8">
        <v>1.6</v>
      </c>
      <c r="H10" s="4">
        <v>7.649283927375671</v>
      </c>
      <c r="I10" s="8">
        <v>1.6</v>
      </c>
      <c r="K10" s="4">
        <v>96.410921540999993</v>
      </c>
      <c r="L10" s="4">
        <v>15</v>
      </c>
      <c r="M10" s="5">
        <v>3.5890784590000067</v>
      </c>
      <c r="P10" s="7">
        <f t="shared" si="20"/>
        <v>3.7616576259247097E-4</v>
      </c>
      <c r="Q10" s="7">
        <f t="shared" si="21"/>
        <v>5.6388317423808169E-3</v>
      </c>
      <c r="R10" s="7">
        <f t="shared" si="22"/>
        <v>5.6509097187253956E-4</v>
      </c>
      <c r="S10" s="7">
        <f t="shared" si="23"/>
        <v>2.2294115942952393E-5</v>
      </c>
      <c r="T10" s="7">
        <f t="shared" si="24"/>
        <v>2.6243324736744405E-5</v>
      </c>
      <c r="V10" s="5">
        <f t="shared" si="0"/>
        <v>6.6286259175255243E-3</v>
      </c>
      <c r="X10" s="4">
        <f t="shared" si="1"/>
        <v>6.9429282633760359E-2</v>
      </c>
      <c r="Y10" s="4">
        <f t="shared" si="2"/>
        <v>1.5558166610495361E-3</v>
      </c>
      <c r="Z10" s="4">
        <f t="shared" si="3"/>
        <v>6.5787656407523265E-5</v>
      </c>
      <c r="AA10" s="4">
        <f t="shared" si="4"/>
        <v>4.9921775053807238E-6</v>
      </c>
      <c r="AC10" s="4">
        <f t="shared" si="5"/>
        <v>1.5612782457985878E-3</v>
      </c>
      <c r="AD10" s="4">
        <f t="shared" si="6"/>
        <v>2.0841027562234788E-3</v>
      </c>
      <c r="AE10" s="4">
        <f t="shared" si="7"/>
        <v>3.6493110328992928E-3</v>
      </c>
      <c r="AF10" s="4">
        <f t="shared" si="8"/>
        <v>1.7147119491365795E-3</v>
      </c>
      <c r="AH10" s="4">
        <f t="shared" si="9"/>
        <v>9.686862171997473E-4</v>
      </c>
      <c r="AI10" s="4">
        <f t="shared" si="10"/>
        <v>1.3928821281283658E-3</v>
      </c>
      <c r="AJ10" s="4">
        <f t="shared" si="11"/>
        <v>2.3082549640174132E-3</v>
      </c>
      <c r="AK10" s="4">
        <f t="shared" si="12"/>
        <v>1.1156690160515927E-3</v>
      </c>
      <c r="AM10" s="4">
        <f t="shared" si="13"/>
        <v>2.529964462998335E-3</v>
      </c>
      <c r="AN10" s="4">
        <f t="shared" si="14"/>
        <v>3.4769848843518446E-3</v>
      </c>
      <c r="AO10" s="4">
        <f t="shared" si="15"/>
        <v>5.957565996916706E-3</v>
      </c>
      <c r="AP10" s="4">
        <f t="shared" si="16"/>
        <v>2.830380965188172E-3</v>
      </c>
      <c r="AR10" s="4">
        <f t="shared" si="25"/>
        <v>1.7868670678755641E-5</v>
      </c>
      <c r="AS10" s="4">
        <f t="shared" si="17"/>
        <v>8.8731520462958939E-6</v>
      </c>
      <c r="AT10" s="4">
        <f t="shared" si="18"/>
        <v>6.6704121169449071E-5</v>
      </c>
      <c r="AV10" s="5">
        <f t="shared" si="19"/>
        <v>9.3445943894500603E-5</v>
      </c>
    </row>
    <row r="11" spans="1:55">
      <c r="A11" s="4">
        <v>800</v>
      </c>
      <c r="B11" s="4">
        <v>570</v>
      </c>
      <c r="C11" s="4">
        <v>3.5000000000000003E-2</v>
      </c>
      <c r="D11" s="4">
        <v>6.38</v>
      </c>
      <c r="E11" s="8">
        <v>1.6</v>
      </c>
      <c r="F11" s="4">
        <v>2.508</v>
      </c>
      <c r="G11" s="8">
        <v>1.6</v>
      </c>
      <c r="H11" s="4">
        <v>8.0884772629187722</v>
      </c>
      <c r="I11" s="8">
        <v>1.6</v>
      </c>
      <c r="K11" s="4">
        <v>96.068152416000004</v>
      </c>
      <c r="L11" s="4">
        <v>15</v>
      </c>
      <c r="M11" s="5">
        <v>3.9318475839999962</v>
      </c>
      <c r="P11" s="7">
        <f t="shared" si="20"/>
        <v>4.1370256845832198E-4</v>
      </c>
      <c r="Q11" s="7">
        <f t="shared" si="21"/>
        <v>6.5326894850884195E-3</v>
      </c>
      <c r="R11" s="7">
        <f t="shared" si="22"/>
        <v>6.879565887847578E-4</v>
      </c>
      <c r="S11" s="7">
        <f t="shared" si="23"/>
        <v>2.8199087572188564E-5</v>
      </c>
      <c r="T11" s="7">
        <f t="shared" si="24"/>
        <v>3.3212898149210007E-5</v>
      </c>
      <c r="V11" s="5">
        <f t="shared" si="0"/>
        <v>7.6957606280528982E-3</v>
      </c>
      <c r="X11" s="4">
        <f t="shared" si="1"/>
        <v>8.626637277705973E-2</v>
      </c>
      <c r="Y11" s="4">
        <f t="shared" si="2"/>
        <v>2.2581065799821554E-3</v>
      </c>
      <c r="Z11" s="4">
        <f t="shared" si="3"/>
        <v>1.0502635677167582E-4</v>
      </c>
      <c r="AA11" s="4">
        <f t="shared" si="4"/>
        <v>8.5890202433658303E-6</v>
      </c>
      <c r="AC11" s="4">
        <f t="shared" si="5"/>
        <v>1.9623505444878613E-3</v>
      </c>
      <c r="AD11" s="4">
        <f t="shared" si="6"/>
        <v>2.6198638125284083E-3</v>
      </c>
      <c r="AE11" s="4">
        <f t="shared" si="7"/>
        <v>4.5872413163425647E-3</v>
      </c>
      <c r="AF11" s="4">
        <f t="shared" si="8"/>
        <v>2.1561356717545934E-3</v>
      </c>
      <c r="AH11" s="4">
        <f t="shared" si="9"/>
        <v>1.2180341693187656E-3</v>
      </c>
      <c r="AI11" s="4">
        <f t="shared" si="10"/>
        <v>1.769183127491388E-3</v>
      </c>
      <c r="AJ11" s="4">
        <f t="shared" si="11"/>
        <v>2.9017604269560779E-3</v>
      </c>
      <c r="AK11" s="4">
        <f t="shared" si="12"/>
        <v>1.4024216212112745E-3</v>
      </c>
      <c r="AM11" s="4">
        <f t="shared" si="13"/>
        <v>3.1803847138066272E-3</v>
      </c>
      <c r="AN11" s="4">
        <f t="shared" si="14"/>
        <v>4.3890469400197961E-3</v>
      </c>
      <c r="AO11" s="4">
        <f t="shared" si="15"/>
        <v>7.4890017432986426E-3</v>
      </c>
      <c r="AP11" s="4">
        <f t="shared" si="16"/>
        <v>3.5585572929658681E-3</v>
      </c>
      <c r="AR11" s="4">
        <f t="shared" si="25"/>
        <v>2.2462468510490114E-5</v>
      </c>
      <c r="AS11" s="4">
        <f t="shared" si="17"/>
        <v>1.1154060429654513E-5</v>
      </c>
      <c r="AT11" s="4">
        <f t="shared" si="18"/>
        <v>8.4050611366163894E-5</v>
      </c>
      <c r="AV11" s="5">
        <f t="shared" si="19"/>
        <v>1.1766714030630852E-4</v>
      </c>
    </row>
    <row r="12" spans="1:55">
      <c r="A12" s="4">
        <v>900</v>
      </c>
      <c r="B12" s="4">
        <v>640</v>
      </c>
      <c r="C12" s="4">
        <v>0.04</v>
      </c>
      <c r="D12" s="4">
        <v>7.1099999999999994</v>
      </c>
      <c r="E12" s="8">
        <v>1.6</v>
      </c>
      <c r="F12" s="4">
        <v>2.6520000000000001</v>
      </c>
      <c r="G12" s="8">
        <v>1.6</v>
      </c>
      <c r="H12" s="4">
        <v>8.5276705984618744</v>
      </c>
      <c r="I12" s="8">
        <v>1.6</v>
      </c>
      <c r="K12" s="4">
        <v>95.794939522000007</v>
      </c>
      <c r="L12" s="4">
        <v>15</v>
      </c>
      <c r="M12" s="5">
        <v>4.2050604779999929</v>
      </c>
      <c r="P12" s="7">
        <f t="shared" si="20"/>
        <v>4.4313883909553176E-4</v>
      </c>
      <c r="Q12" s="7">
        <f t="shared" si="21"/>
        <v>7.298103684481012E-3</v>
      </c>
      <c r="R12" s="7">
        <f t="shared" si="22"/>
        <v>7.9969635578224982E-4</v>
      </c>
      <c r="S12" s="7">
        <f t="shared" si="23"/>
        <v>3.3799491401333198E-5</v>
      </c>
      <c r="T12" s="7">
        <f t="shared" si="24"/>
        <v>3.9827531845315004E-5</v>
      </c>
      <c r="V12" s="5">
        <f t="shared" si="0"/>
        <v>8.6145659026054429E-3</v>
      </c>
      <c r="X12" s="4">
        <f t="shared" si="1"/>
        <v>0.10475197522067281</v>
      </c>
      <c r="Y12" s="4">
        <f t="shared" si="2"/>
        <v>3.1737095802411019E-3</v>
      </c>
      <c r="Z12" s="4">
        <f t="shared" si="3"/>
        <v>1.6150674448167646E-4</v>
      </c>
      <c r="AA12" s="4">
        <f t="shared" si="4"/>
        <v>1.418140981435112E-5</v>
      </c>
      <c r="AC12" s="4">
        <f t="shared" si="5"/>
        <v>2.4130232228006753E-3</v>
      </c>
      <c r="AD12" s="4">
        <f t="shared" si="6"/>
        <v>3.2220349153253029E-3</v>
      </c>
      <c r="AE12" s="4">
        <f t="shared" si="7"/>
        <v>5.6412581695022175E-3</v>
      </c>
      <c r="AF12" s="4">
        <f t="shared" si="8"/>
        <v>2.6525504543734005E-3</v>
      </c>
      <c r="AH12" s="4">
        <f t="shared" si="9"/>
        <v>1.4984450001713525E-3</v>
      </c>
      <c r="AI12" s="4">
        <f t="shared" si="10"/>
        <v>2.2022298737275148E-3</v>
      </c>
      <c r="AJ12" s="4">
        <f t="shared" si="11"/>
        <v>3.568879595068557E-3</v>
      </c>
      <c r="AK12" s="4">
        <f t="shared" si="12"/>
        <v>1.7247101786837852E-3</v>
      </c>
      <c r="AM12" s="4">
        <f t="shared" si="13"/>
        <v>3.9114682229720275E-3</v>
      </c>
      <c r="AN12" s="4">
        <f t="shared" si="14"/>
        <v>5.4242647890528177E-3</v>
      </c>
      <c r="AO12" s="4">
        <f t="shared" si="15"/>
        <v>9.2101377645707749E-3</v>
      </c>
      <c r="AP12" s="4">
        <f t="shared" si="16"/>
        <v>4.3772606330571857E-3</v>
      </c>
      <c r="AR12" s="4">
        <f t="shared" si="25"/>
        <v>2.7625976004371527E-5</v>
      </c>
      <c r="AS12" s="4">
        <f t="shared" si="17"/>
        <v>1.3717506913840882E-5</v>
      </c>
      <c r="AT12" s="4">
        <f t="shared" si="18"/>
        <v>1.0365692350786051E-4</v>
      </c>
      <c r="AV12" s="5">
        <f t="shared" si="19"/>
        <v>1.4500040642607292E-4</v>
      </c>
    </row>
    <row r="13" spans="1:55">
      <c r="A13" s="4">
        <v>1000</v>
      </c>
      <c r="B13" s="4">
        <v>710</v>
      </c>
      <c r="C13" s="4">
        <v>4.4999999999999998E-2</v>
      </c>
      <c r="D13" s="4">
        <v>7.8185714285714267</v>
      </c>
      <c r="E13" s="8">
        <v>1.6</v>
      </c>
      <c r="F13" s="4">
        <v>2.7960000000000003</v>
      </c>
      <c r="G13" s="8">
        <v>1.6</v>
      </c>
      <c r="H13" s="4">
        <v>8.9668639340049747</v>
      </c>
      <c r="I13" s="8">
        <v>1.6</v>
      </c>
      <c r="K13" s="4">
        <v>95.542649420999993</v>
      </c>
      <c r="L13" s="4">
        <v>15</v>
      </c>
      <c r="M13" s="5">
        <v>4.457350579000007</v>
      </c>
      <c r="P13" s="7">
        <f t="shared" si="20"/>
        <v>4.6981082759964406E-4</v>
      </c>
      <c r="Q13" s="7">
        <f t="shared" si="21"/>
        <v>8.0477291391599665E-3</v>
      </c>
      <c r="R13" s="7">
        <f t="shared" si="22"/>
        <v>9.148986193170495E-4</v>
      </c>
      <c r="S13" s="7">
        <f t="shared" si="23"/>
        <v>3.9784043963585448E-5</v>
      </c>
      <c r="T13" s="7">
        <f t="shared" si="24"/>
        <v>4.6900182226509234E-5</v>
      </c>
      <c r="V13" s="5">
        <f t="shared" si="0"/>
        <v>9.5191228122667552E-3</v>
      </c>
      <c r="X13" s="4">
        <f t="shared" si="1"/>
        <v>0.12467311742136766</v>
      </c>
      <c r="Y13" s="4">
        <f t="shared" si="2"/>
        <v>4.3360992683229016E-3</v>
      </c>
      <c r="Z13" s="4">
        <f t="shared" si="3"/>
        <v>2.4028543301624072E-4</v>
      </c>
      <c r="AA13" s="4">
        <f t="shared" si="4"/>
        <v>2.2578133239914422E-5</v>
      </c>
      <c r="AC13" s="4">
        <f t="shared" si="5"/>
        <v>2.911454102225753E-3</v>
      </c>
      <c r="AD13" s="4">
        <f t="shared" si="6"/>
        <v>3.8882010141286136E-3</v>
      </c>
      <c r="AE13" s="4">
        <f t="shared" si="7"/>
        <v>6.8070603659498444E-3</v>
      </c>
      <c r="AF13" s="4">
        <f t="shared" si="8"/>
        <v>3.2020511663695041E-3</v>
      </c>
      <c r="AH13" s="4">
        <f t="shared" si="9"/>
        <v>1.8088446021031568E-3</v>
      </c>
      <c r="AI13" s="4">
        <f t="shared" si="10"/>
        <v>2.6945764635676788E-3</v>
      </c>
      <c r="AJ13" s="4">
        <f t="shared" si="11"/>
        <v>4.3069502752039615E-3</v>
      </c>
      <c r="AK13" s="4">
        <f t="shared" si="12"/>
        <v>2.0812420852337251E-3</v>
      </c>
      <c r="AM13" s="4">
        <f t="shared" si="13"/>
        <v>4.7202987043289098E-3</v>
      </c>
      <c r="AN13" s="4">
        <f t="shared" si="14"/>
        <v>6.582777477696292E-3</v>
      </c>
      <c r="AO13" s="4">
        <f t="shared" si="15"/>
        <v>1.1114010641153806E-2</v>
      </c>
      <c r="AP13" s="4">
        <f t="shared" si="16"/>
        <v>5.2832932516032292E-3</v>
      </c>
      <c r="AR13" s="4">
        <f t="shared" si="25"/>
        <v>3.3338595971047731E-5</v>
      </c>
      <c r="AS13" s="4">
        <f t="shared" si="17"/>
        <v>1.6553120236376125E-5</v>
      </c>
      <c r="AT13" s="4">
        <f t="shared" si="18"/>
        <v>1.254907101655078E-4</v>
      </c>
      <c r="AV13" s="5">
        <f t="shared" si="19"/>
        <v>1.7538242637293167E-4</v>
      </c>
    </row>
    <row r="14" spans="1:55">
      <c r="A14" s="4">
        <v>1100</v>
      </c>
      <c r="B14" s="4">
        <v>780</v>
      </c>
      <c r="C14" s="4">
        <v>0.05</v>
      </c>
      <c r="D14" s="4">
        <v>8.5028571428571436</v>
      </c>
      <c r="E14" s="8">
        <v>1.6</v>
      </c>
      <c r="F14" s="4">
        <v>2.9400000000000004</v>
      </c>
      <c r="G14" s="8">
        <v>1.6</v>
      </c>
      <c r="H14" s="4">
        <v>9.4060572695480733</v>
      </c>
      <c r="I14" s="8">
        <v>1.6</v>
      </c>
      <c r="K14" s="4">
        <v>95.340779225999995</v>
      </c>
      <c r="L14" s="4">
        <v>15</v>
      </c>
      <c r="M14" s="5">
        <v>4.6592207740000049</v>
      </c>
      <c r="P14" s="7">
        <f t="shared" si="20"/>
        <v>4.9072334533381437E-4</v>
      </c>
      <c r="Q14" s="7">
        <f t="shared" si="21"/>
        <v>8.6777460153568617E-3</v>
      </c>
      <c r="R14" s="7">
        <f t="shared" si="22"/>
        <v>1.0161003296101805E-3</v>
      </c>
      <c r="S14" s="7">
        <f t="shared" si="23"/>
        <v>4.5205877479113864E-5</v>
      </c>
      <c r="T14" s="7">
        <f t="shared" si="24"/>
        <v>5.3311256215669027E-5</v>
      </c>
      <c r="V14" s="5">
        <f t="shared" si="0"/>
        <v>1.0283086823995638E-2</v>
      </c>
      <c r="X14" s="4">
        <f t="shared" si="1"/>
        <v>0.14579198063631027</v>
      </c>
      <c r="Y14" s="4">
        <f t="shared" si="2"/>
        <v>5.77760191357235E-3</v>
      </c>
      <c r="Z14" s="4">
        <f t="shared" si="3"/>
        <v>3.4714866967100466E-4</v>
      </c>
      <c r="AA14" s="4">
        <f t="shared" si="4"/>
        <v>3.4801451726518273E-5</v>
      </c>
      <c r="AC14" s="4">
        <f t="shared" si="5"/>
        <v>3.4553090531165829E-3</v>
      </c>
      <c r="AD14" s="4">
        <f t="shared" si="6"/>
        <v>4.6152918025957708E-3</v>
      </c>
      <c r="AE14" s="4">
        <f t="shared" si="7"/>
        <v>8.0791964532906952E-3</v>
      </c>
      <c r="AF14" s="4">
        <f t="shared" si="8"/>
        <v>3.8021937904644055E-3</v>
      </c>
      <c r="AH14" s="4">
        <f t="shared" si="9"/>
        <v>2.1478544943637407E-3</v>
      </c>
      <c r="AI14" s="4">
        <f t="shared" si="10"/>
        <v>3.2489307365098576E-3</v>
      </c>
      <c r="AJ14" s="4">
        <f t="shared" si="11"/>
        <v>5.1125849092295093E-3</v>
      </c>
      <c r="AK14" s="4">
        <f t="shared" si="12"/>
        <v>2.4703737695986744E-3</v>
      </c>
      <c r="AM14" s="4">
        <f t="shared" si="13"/>
        <v>5.6031635474803236E-3</v>
      </c>
      <c r="AN14" s="4">
        <f t="shared" si="14"/>
        <v>7.8642225391056288E-3</v>
      </c>
      <c r="AO14" s="4">
        <f t="shared" si="15"/>
        <v>1.3191781362520204E-2</v>
      </c>
      <c r="AP14" s="4">
        <f t="shared" si="16"/>
        <v>6.2725675600630798E-3</v>
      </c>
      <c r="AR14" s="4">
        <f t="shared" si="25"/>
        <v>3.9574106930528848E-5</v>
      </c>
      <c r="AS14" s="4">
        <f t="shared" si="17"/>
        <v>1.9647735644340982E-5</v>
      </c>
      <c r="AT14" s="4">
        <f t="shared" si="18"/>
        <v>1.4950490937366305E-4</v>
      </c>
      <c r="AV14" s="5">
        <f t="shared" si="19"/>
        <v>2.0872675194853288E-4</v>
      </c>
    </row>
    <row r="15" spans="1:55">
      <c r="A15" s="4">
        <v>1200</v>
      </c>
      <c r="B15" s="4">
        <v>850</v>
      </c>
      <c r="C15" s="4">
        <v>5.5E-2</v>
      </c>
      <c r="D15" s="4">
        <v>9.168571428571429</v>
      </c>
      <c r="E15" s="8">
        <v>1.6</v>
      </c>
      <c r="F15" s="4">
        <v>3.0839999999999996</v>
      </c>
      <c r="G15" s="8">
        <v>1.6</v>
      </c>
      <c r="H15" s="4">
        <v>9.8452506050911737</v>
      </c>
      <c r="I15" s="8">
        <v>1.6</v>
      </c>
      <c r="K15" s="4">
        <v>95.119899661999995</v>
      </c>
      <c r="L15" s="4">
        <v>15</v>
      </c>
      <c r="M15" s="5">
        <v>4.8801003380000054</v>
      </c>
      <c r="O15" s="7"/>
      <c r="P15" s="7">
        <f t="shared" si="20"/>
        <v>5.1309484678648681E-4</v>
      </c>
      <c r="Q15" s="7">
        <f t="shared" si="21"/>
        <v>9.3983486946025013E-3</v>
      </c>
      <c r="R15" s="7">
        <f t="shared" si="22"/>
        <v>1.136735161921396E-3</v>
      </c>
      <c r="S15" s="7">
        <f t="shared" si="23"/>
        <v>5.1857752998352089E-5</v>
      </c>
      <c r="T15" s="7">
        <f t="shared" si="24"/>
        <v>6.1180879461784777E-5</v>
      </c>
      <c r="V15" s="5">
        <f t="shared" si="0"/>
        <v>1.1161217335770522E-2</v>
      </c>
      <c r="X15" s="4">
        <f t="shared" si="1"/>
        <v>0.16785667045374619</v>
      </c>
      <c r="Y15" s="4">
        <f t="shared" si="2"/>
        <v>7.5284555594452574E-3</v>
      </c>
      <c r="Z15" s="4">
        <f t="shared" si="3"/>
        <v>4.8856313724165989E-4</v>
      </c>
      <c r="AA15" s="4">
        <f t="shared" si="4"/>
        <v>5.2111653131459157E-5</v>
      </c>
      <c r="AC15" s="4">
        <f t="shared" si="5"/>
        <v>4.0419300500353778E-3</v>
      </c>
      <c r="AD15" s="4">
        <f t="shared" si="6"/>
        <v>5.3998051947931891E-3</v>
      </c>
      <c r="AE15" s="4">
        <f t="shared" si="7"/>
        <v>9.4514588251899487E-3</v>
      </c>
      <c r="AF15" s="4">
        <f t="shared" si="8"/>
        <v>4.4501768485536945E-3</v>
      </c>
      <c r="AH15" s="4">
        <f t="shared" si="9"/>
        <v>2.5138941217160357E-3</v>
      </c>
      <c r="AI15" s="4">
        <f t="shared" si="10"/>
        <v>3.8682497965299703E-3</v>
      </c>
      <c r="AJ15" s="4">
        <f t="shared" si="11"/>
        <v>5.9819178699225184E-3</v>
      </c>
      <c r="AK15" s="4">
        <f t="shared" si="12"/>
        <v>2.8902300958291187E-3</v>
      </c>
      <c r="AM15" s="4">
        <f t="shared" si="13"/>
        <v>6.5558241717514135E-3</v>
      </c>
      <c r="AN15" s="4">
        <f t="shared" si="14"/>
        <v>9.2680549913231602E-3</v>
      </c>
      <c r="AO15" s="4">
        <f t="shared" si="15"/>
        <v>1.5433376695112466E-2</v>
      </c>
      <c r="AP15" s="4">
        <f t="shared" si="16"/>
        <v>7.3404069443828131E-3</v>
      </c>
      <c r="AR15" s="4">
        <f t="shared" si="25"/>
        <v>4.6302572572114841E-5</v>
      </c>
      <c r="AS15" s="4">
        <f t="shared" si="17"/>
        <v>2.29863501427204E-5</v>
      </c>
      <c r="AT15" s="4">
        <f t="shared" si="18"/>
        <v>1.7564429966882407E-4</v>
      </c>
      <c r="AV15" s="5">
        <f t="shared" si="19"/>
        <v>2.4493322238365931E-4</v>
      </c>
    </row>
    <row r="16" spans="1:55">
      <c r="A16" s="4">
        <v>1300</v>
      </c>
      <c r="B16" s="4">
        <v>920</v>
      </c>
      <c r="C16" s="4">
        <v>0.06</v>
      </c>
      <c r="D16" s="4">
        <v>9.8142857142857149</v>
      </c>
      <c r="E16" s="8">
        <v>1.6</v>
      </c>
      <c r="F16" s="4">
        <v>3.2279999999999998</v>
      </c>
      <c r="G16" s="8">
        <v>1.6</v>
      </c>
      <c r="H16" s="4">
        <v>10.284443940634276</v>
      </c>
      <c r="I16" s="8">
        <v>1.6</v>
      </c>
      <c r="K16" s="4">
        <v>94.941684206999994</v>
      </c>
      <c r="L16" s="4">
        <v>15</v>
      </c>
      <c r="M16" s="5">
        <v>5.0583157930000056</v>
      </c>
      <c r="P16" s="7">
        <f t="shared" si="20"/>
        <v>5.3070636816026425E-4</v>
      </c>
      <c r="Q16" s="7">
        <f t="shared" si="21"/>
        <v>1.0003872401700593E-2</v>
      </c>
      <c r="R16" s="7">
        <f t="shared" si="22"/>
        <v>1.2421228123012059E-3</v>
      </c>
      <c r="S16" s="7">
        <f t="shared" si="23"/>
        <v>5.7828194484712896E-5</v>
      </c>
      <c r="T16" s="7">
        <f t="shared" si="24"/>
        <v>6.8247842898632699E-5</v>
      </c>
      <c r="V16" s="5">
        <f t="shared" si="0"/>
        <v>1.190277761954541E-2</v>
      </c>
      <c r="X16" s="4">
        <f t="shared" si="1"/>
        <v>0.1906106087324948</v>
      </c>
      <c r="Y16" s="4">
        <f t="shared" si="2"/>
        <v>9.6159894758195419E-3</v>
      </c>
      <c r="Z16" s="4">
        <f t="shared" si="3"/>
        <v>6.7160300766433423E-4</v>
      </c>
      <c r="AA16" s="4">
        <f t="shared" si="4"/>
        <v>7.6028379703219073E-5</v>
      </c>
      <c r="AC16" s="4">
        <f t="shared" si="5"/>
        <v>4.6684784155444246E-3</v>
      </c>
      <c r="AD16" s="4">
        <f t="shared" si="6"/>
        <v>6.2379976181357859E-3</v>
      </c>
      <c r="AE16" s="4">
        <f t="shared" si="7"/>
        <v>1.0917218856566342E-2</v>
      </c>
      <c r="AF16" s="4">
        <f t="shared" si="8"/>
        <v>5.1429958661859555E-3</v>
      </c>
      <c r="AH16" s="4">
        <f t="shared" si="9"/>
        <v>2.9052680169695888E-3</v>
      </c>
      <c r="AI16" s="4">
        <f t="shared" si="10"/>
        <v>4.5557940852678164E-3</v>
      </c>
      <c r="AJ16" s="4">
        <f t="shared" si="11"/>
        <v>6.9108159619999101E-3</v>
      </c>
      <c r="AK16" s="4">
        <f t="shared" si="12"/>
        <v>3.3388061543081805E-3</v>
      </c>
      <c r="AM16" s="4">
        <f t="shared" si="13"/>
        <v>7.5737464325140134E-3</v>
      </c>
      <c r="AN16" s="4">
        <f t="shared" si="14"/>
        <v>1.0793791703403603E-2</v>
      </c>
      <c r="AO16" s="4">
        <f t="shared" si="15"/>
        <v>1.7828034818566253E-2</v>
      </c>
      <c r="AP16" s="4">
        <f t="shared" si="16"/>
        <v>8.481802020494136E-3</v>
      </c>
      <c r="AR16" s="4">
        <f t="shared" si="25"/>
        <v>5.3491969071615515E-5</v>
      </c>
      <c r="AS16" s="4">
        <f t="shared" si="17"/>
        <v>2.6552935160712627E-5</v>
      </c>
      <c r="AT16" s="4">
        <f t="shared" si="18"/>
        <v>2.0385079445894437E-4</v>
      </c>
      <c r="AV16" s="5">
        <f t="shared" si="19"/>
        <v>2.8389569869127253E-4</v>
      </c>
    </row>
    <row r="17" spans="1:48">
      <c r="A17" s="4">
        <v>1400</v>
      </c>
      <c r="B17" s="4">
        <v>990</v>
      </c>
      <c r="C17" s="4">
        <v>6.5000000000000002E-2</v>
      </c>
      <c r="D17" s="4">
        <v>10.44142857142857</v>
      </c>
      <c r="E17" s="8">
        <v>1.6</v>
      </c>
      <c r="F17" s="4">
        <v>3.3719999999999999</v>
      </c>
      <c r="G17" s="8">
        <v>1.6</v>
      </c>
      <c r="H17" s="4">
        <v>10.723637276177376</v>
      </c>
      <c r="I17" s="8">
        <v>1.6</v>
      </c>
      <c r="K17" s="4">
        <v>94.772612123000002</v>
      </c>
      <c r="L17" s="4">
        <v>15</v>
      </c>
      <c r="M17" s="5">
        <v>5.2273878769999982</v>
      </c>
      <c r="P17" s="7">
        <f t="shared" si="20"/>
        <v>5.4701272570280583E-4</v>
      </c>
      <c r="Q17" s="7">
        <f t="shared" si="21"/>
        <v>1.0598437422449584E-2</v>
      </c>
      <c r="R17" s="7">
        <f t="shared" si="22"/>
        <v>1.349170394996897E-3</v>
      </c>
      <c r="S17" s="7">
        <f t="shared" si="23"/>
        <v>6.4037387898323444E-5</v>
      </c>
      <c r="T17" s="7">
        <f t="shared" si="24"/>
        <v>7.5600680550949763E-5</v>
      </c>
      <c r="V17" s="5">
        <f t="shared" si="0"/>
        <v>1.2634258611598561E-2</v>
      </c>
      <c r="X17" s="4">
        <f t="shared" si="1"/>
        <v>0.21380038022859682</v>
      </c>
      <c r="Y17" s="4">
        <f t="shared" si="2"/>
        <v>1.2063946923428825E-2</v>
      </c>
      <c r="Z17" s="4">
        <f t="shared" si="3"/>
        <v>9.0385690838856725E-4</v>
      </c>
      <c r="AA17" s="4">
        <f t="shared" si="4"/>
        <v>1.0834794701730655E-4</v>
      </c>
      <c r="AC17" s="4">
        <f t="shared" si="5"/>
        <v>5.3320513843422516E-3</v>
      </c>
      <c r="AD17" s="4">
        <f t="shared" si="6"/>
        <v>7.1260386474717987E-3</v>
      </c>
      <c r="AE17" s="4">
        <f t="shared" si="7"/>
        <v>1.2469698668822415E-2</v>
      </c>
      <c r="AF17" s="4">
        <f t="shared" si="8"/>
        <v>5.8775689006604626E-3</v>
      </c>
      <c r="AH17" s="4">
        <f t="shared" si="9"/>
        <v>3.3202367204703443E-3</v>
      </c>
      <c r="AI17" s="4">
        <f t="shared" si="10"/>
        <v>5.3151416143812384E-3</v>
      </c>
      <c r="AJ17" s="4">
        <f t="shared" si="11"/>
        <v>7.8950493901031871E-3</v>
      </c>
      <c r="AK17" s="4">
        <f t="shared" si="12"/>
        <v>3.814050125404876E-3</v>
      </c>
      <c r="AM17" s="4">
        <f t="shared" si="13"/>
        <v>8.6522881048125954E-3</v>
      </c>
      <c r="AN17" s="4">
        <f t="shared" si="14"/>
        <v>1.2441180261853037E-2</v>
      </c>
      <c r="AO17" s="4">
        <f t="shared" si="15"/>
        <v>2.0364748058925602E-2</v>
      </c>
      <c r="AP17" s="4">
        <f t="shared" si="16"/>
        <v>9.6916190260653394E-3</v>
      </c>
      <c r="AR17" s="4">
        <f t="shared" si="25"/>
        <v>6.1109509253495304E-5</v>
      </c>
      <c r="AS17" s="4">
        <f t="shared" si="17"/>
        <v>3.0331095955105781E-5</v>
      </c>
      <c r="AT17" s="4">
        <f t="shared" si="18"/>
        <v>2.3406743175173053E-4</v>
      </c>
      <c r="AV17" s="5">
        <f t="shared" si="19"/>
        <v>3.2550803696033157E-4</v>
      </c>
    </row>
    <row r="18" spans="1:48">
      <c r="A18" s="4">
        <v>1500</v>
      </c>
      <c r="B18" s="4">
        <v>1060</v>
      </c>
      <c r="C18" s="4">
        <v>7.0000000000000007E-2</v>
      </c>
      <c r="D18" s="4">
        <v>11.051428571428572</v>
      </c>
      <c r="E18" s="8">
        <v>1.6</v>
      </c>
      <c r="F18" s="4">
        <v>3.5159999999999996</v>
      </c>
      <c r="G18" s="8">
        <v>1.6</v>
      </c>
      <c r="H18" s="4">
        <v>11.162830611720477</v>
      </c>
      <c r="I18" s="8">
        <v>1.6</v>
      </c>
      <c r="K18" s="4">
        <v>94.611790814000003</v>
      </c>
      <c r="L18" s="4">
        <v>15</v>
      </c>
      <c r="M18" s="5">
        <v>5.3882091859999974</v>
      </c>
      <c r="P18" s="7">
        <f t="shared" si="20"/>
        <v>5.6212855548193677E-4</v>
      </c>
      <c r="Q18" s="7">
        <f t="shared" si="21"/>
        <v>1.1182297582293478E-2</v>
      </c>
      <c r="R18" s="7">
        <f t="shared" si="22"/>
        <v>1.4577320133607533E-3</v>
      </c>
      <c r="S18" s="7">
        <f t="shared" si="23"/>
        <v>7.0477017804801805E-5</v>
      </c>
      <c r="T18" s="7">
        <f t="shared" si="24"/>
        <v>8.3229691549691425E-5</v>
      </c>
      <c r="V18" s="5">
        <f t="shared" si="0"/>
        <v>1.3355864860490662E-2</v>
      </c>
      <c r="X18" s="4">
        <f t="shared" si="1"/>
        <v>0.23718201662907301</v>
      </c>
      <c r="Y18" s="4">
        <f t="shared" si="2"/>
        <v>1.4891962379561252E-2</v>
      </c>
      <c r="Z18" s="4">
        <f t="shared" si="3"/>
        <v>1.1933190523139015E-3</v>
      </c>
      <c r="AA18" s="4">
        <f t="shared" si="4"/>
        <v>1.5115606396154391E-4</v>
      </c>
      <c r="AC18" s="4">
        <f t="shared" si="5"/>
        <v>6.0297726860235471E-3</v>
      </c>
      <c r="AD18" s="4">
        <f t="shared" si="6"/>
        <v>8.0601309437078553E-3</v>
      </c>
      <c r="AE18" s="4">
        <f t="shared" si="7"/>
        <v>1.4102181262017227E-2</v>
      </c>
      <c r="AF18" s="4">
        <f t="shared" si="8"/>
        <v>6.6508339435145183E-3</v>
      </c>
      <c r="AH18" s="4">
        <f t="shared" si="9"/>
        <v>3.7570719064507533E-3</v>
      </c>
      <c r="AI18" s="4">
        <f t="shared" si="10"/>
        <v>6.1501666583507449E-3</v>
      </c>
      <c r="AJ18" s="4">
        <f t="shared" si="11"/>
        <v>8.930424272620795E-3</v>
      </c>
      <c r="AK18" s="4">
        <f t="shared" si="12"/>
        <v>4.3139277161930245E-3</v>
      </c>
      <c r="AM18" s="4">
        <f t="shared" si="13"/>
        <v>9.7868445924742999E-3</v>
      </c>
      <c r="AN18" s="4">
        <f t="shared" si="14"/>
        <v>1.4210297602058601E-2</v>
      </c>
      <c r="AO18" s="4">
        <f t="shared" si="15"/>
        <v>2.3032605534638022E-2</v>
      </c>
      <c r="AP18" s="4">
        <f t="shared" si="16"/>
        <v>1.0964761659707542E-2</v>
      </c>
      <c r="AR18" s="4">
        <f t="shared" si="25"/>
        <v>6.9122671707345161E-5</v>
      </c>
      <c r="AS18" s="4">
        <f t="shared" si="17"/>
        <v>3.4304581944534163E-5</v>
      </c>
      <c r="AT18" s="4">
        <f t="shared" si="18"/>
        <v>2.6624112878554149E-4</v>
      </c>
      <c r="AV18" s="5">
        <f t="shared" si="19"/>
        <v>3.6966838243742079E-4</v>
      </c>
    </row>
    <row r="19" spans="1:48">
      <c r="A19" s="4">
        <v>1600</v>
      </c>
      <c r="B19" s="4">
        <v>1130</v>
      </c>
      <c r="C19" s="4">
        <v>7.4999999999999997E-2</v>
      </c>
      <c r="D19" s="4">
        <v>11.645714285714286</v>
      </c>
      <c r="E19" s="8">
        <v>1.6</v>
      </c>
      <c r="F19" s="4">
        <v>3.66</v>
      </c>
      <c r="G19" s="8">
        <v>1.6</v>
      </c>
      <c r="H19" s="4">
        <v>11.602023947263577</v>
      </c>
      <c r="I19" s="8">
        <v>1.6</v>
      </c>
      <c r="K19" s="4">
        <v>94.45845233</v>
      </c>
      <c r="L19" s="4">
        <v>15</v>
      </c>
      <c r="M19" s="5">
        <v>5.5415476699999999</v>
      </c>
      <c r="P19" s="7">
        <f t="shared" si="20"/>
        <v>5.7615503924708113E-4</v>
      </c>
      <c r="Q19" s="7">
        <f t="shared" si="21"/>
        <v>1.1755719584078152E-2</v>
      </c>
      <c r="R19" s="7">
        <f t="shared" si="22"/>
        <v>1.5676770142367853E-3</v>
      </c>
      <c r="S19" s="7">
        <f t="shared" si="23"/>
        <v>7.7139281159263834E-5</v>
      </c>
      <c r="T19" s="7">
        <f t="shared" si="24"/>
        <v>9.1125767091558126E-5</v>
      </c>
      <c r="V19" s="5">
        <f t="shared" si="0"/>
        <v>1.4067816685812841E-2</v>
      </c>
      <c r="X19" s="4">
        <f t="shared" si="1"/>
        <v>0.26052579983323454</v>
      </c>
      <c r="Y19" s="4">
        <f t="shared" si="2"/>
        <v>1.8115194596532214E-2</v>
      </c>
      <c r="Z19" s="4">
        <f t="shared" si="3"/>
        <v>1.5482690383090691E-3</v>
      </c>
      <c r="AA19" s="4">
        <f t="shared" si="4"/>
        <v>2.0683556498990452E-4</v>
      </c>
      <c r="AC19" s="4">
        <f t="shared" si="5"/>
        <v>6.7588594253947289E-3</v>
      </c>
      <c r="AD19" s="4">
        <f t="shared" si="6"/>
        <v>9.0365985773012449E-3</v>
      </c>
      <c r="AE19" s="4">
        <f t="shared" si="7"/>
        <v>1.5808164558247496E-2</v>
      </c>
      <c r="AF19" s="4">
        <f t="shared" si="8"/>
        <v>7.4598207171915985E-3</v>
      </c>
      <c r="AH19" s="4">
        <f t="shared" si="9"/>
        <v>4.2140971202558825E-3</v>
      </c>
      <c r="AI19" s="4">
        <f t="shared" si="10"/>
        <v>7.0649887857302147E-3</v>
      </c>
      <c r="AJ19" s="4">
        <f t="shared" si="11"/>
        <v>1.0012880129789336E-2</v>
      </c>
      <c r="AK19" s="4">
        <f t="shared" si="12"/>
        <v>4.836469786986106E-3</v>
      </c>
      <c r="AM19" s="4">
        <f t="shared" si="13"/>
        <v>1.097295654565061E-2</v>
      </c>
      <c r="AN19" s="4">
        <f t="shared" si="14"/>
        <v>1.610158736303146E-2</v>
      </c>
      <c r="AO19" s="4">
        <f t="shared" si="15"/>
        <v>2.582104468803683E-2</v>
      </c>
      <c r="AP19" s="4">
        <f t="shared" si="16"/>
        <v>1.2296290504177704E-2</v>
      </c>
      <c r="AR19" s="4">
        <f t="shared" si="25"/>
        <v>7.7499960870658238E-5</v>
      </c>
      <c r="AS19" s="4">
        <f t="shared" si="17"/>
        <v>3.8457661338494277E-5</v>
      </c>
      <c r="AT19" s="4">
        <f t="shared" si="18"/>
        <v>3.0032434004881455E-4</v>
      </c>
      <c r="AV19" s="5">
        <f t="shared" si="19"/>
        <v>4.1628196225796705E-4</v>
      </c>
    </row>
    <row r="20" spans="1:48">
      <c r="A20" s="4">
        <v>1700</v>
      </c>
      <c r="B20" s="4">
        <v>1200</v>
      </c>
      <c r="C20" s="4">
        <v>0.08</v>
      </c>
      <c r="D20" s="4">
        <v>12.224285714285713</v>
      </c>
      <c r="E20" s="8">
        <v>1.6</v>
      </c>
      <c r="F20" s="4">
        <v>3.8039999999999998</v>
      </c>
      <c r="G20" s="8">
        <v>1.6</v>
      </c>
      <c r="H20" s="4">
        <v>12.041217282806677</v>
      </c>
      <c r="I20" s="8">
        <v>1.6</v>
      </c>
      <c r="K20" s="4">
        <v>94.335903532000003</v>
      </c>
      <c r="L20" s="4">
        <v>15</v>
      </c>
      <c r="M20" s="5">
        <v>5.6640964679999968</v>
      </c>
      <c r="P20" s="7">
        <f t="shared" si="20"/>
        <v>5.8707666605506382E-4</v>
      </c>
      <c r="Q20" s="7">
        <f t="shared" si="21"/>
        <v>1.2225794674024152E-2</v>
      </c>
      <c r="R20" s="7">
        <f t="shared" si="22"/>
        <v>1.6602694873579721E-3</v>
      </c>
      <c r="S20" s="7">
        <f t="shared" si="23"/>
        <v>8.2855927645625183E-5</v>
      </c>
      <c r="T20" s="7">
        <f t="shared" si="24"/>
        <v>9.7903639174097819E-5</v>
      </c>
      <c r="V20" s="5">
        <f t="shared" si="0"/>
        <v>1.4653900394256911E-2</v>
      </c>
      <c r="X20" s="4">
        <f t="shared" si="1"/>
        <v>0.28361972597626595</v>
      </c>
      <c r="Y20" s="4">
        <f t="shared" si="2"/>
        <v>2.1744109268998946E-2</v>
      </c>
      <c r="Z20" s="4">
        <f t="shared" si="3"/>
        <v>1.9771448072126718E-3</v>
      </c>
      <c r="AA20" s="4">
        <f t="shared" si="4"/>
        <v>2.7806896204096709E-4</v>
      </c>
      <c r="AC20" s="4">
        <f t="shared" si="5"/>
        <v>7.5166683749215103E-3</v>
      </c>
      <c r="AD20" s="4">
        <f t="shared" si="6"/>
        <v>1.0051947933289757E-2</v>
      </c>
      <c r="AE20" s="4">
        <f t="shared" si="7"/>
        <v>1.7581466908614403E-2</v>
      </c>
      <c r="AF20" s="4">
        <f t="shared" si="8"/>
        <v>8.301700282157036E-3</v>
      </c>
      <c r="AH20" s="4">
        <f t="shared" si="9"/>
        <v>4.6897160310462203E-3</v>
      </c>
      <c r="AI20" s="4">
        <f t="shared" si="10"/>
        <v>8.0638988206494528E-3</v>
      </c>
      <c r="AJ20" s="4">
        <f t="shared" si="11"/>
        <v>1.1138557012587161E-2</v>
      </c>
      <c r="AK20" s="4">
        <f t="shared" si="12"/>
        <v>5.3798053735491964E-3</v>
      </c>
      <c r="AM20" s="4">
        <f t="shared" si="13"/>
        <v>1.2206384405967731E-2</v>
      </c>
      <c r="AN20" s="4">
        <f t="shared" si="14"/>
        <v>1.8115846753939208E-2</v>
      </c>
      <c r="AO20" s="4">
        <f t="shared" si="15"/>
        <v>2.8720023921201564E-2</v>
      </c>
      <c r="AP20" s="4">
        <f t="shared" si="16"/>
        <v>1.3681505655706232E-2</v>
      </c>
      <c r="AR20" s="4">
        <f t="shared" si="25"/>
        <v>8.6211433527427856E-5</v>
      </c>
      <c r="AS20" s="4">
        <f t="shared" si="17"/>
        <v>4.2775378259840635E-5</v>
      </c>
      <c r="AT20" s="4">
        <f t="shared" si="18"/>
        <v>3.3627579223985307E-4</v>
      </c>
      <c r="AV20" s="5">
        <f t="shared" si="19"/>
        <v>4.6526260402712159E-4</v>
      </c>
    </row>
    <row r="21" spans="1:48">
      <c r="A21" s="4">
        <v>1800</v>
      </c>
      <c r="B21" s="4">
        <v>1270</v>
      </c>
      <c r="C21" s="4">
        <v>8.5000000000000006E-2</v>
      </c>
      <c r="D21" s="4">
        <v>12.78857142857143</v>
      </c>
      <c r="E21" s="8">
        <v>1.6</v>
      </c>
      <c r="F21" s="4">
        <v>3.948</v>
      </c>
      <c r="G21" s="8">
        <v>1.6</v>
      </c>
      <c r="H21" s="4">
        <v>12.480410618349781</v>
      </c>
      <c r="I21" s="8">
        <v>1.6</v>
      </c>
      <c r="K21" s="4">
        <v>94.194616917999994</v>
      </c>
      <c r="L21" s="4">
        <v>15</v>
      </c>
      <c r="M21" s="5">
        <v>5.8053830820000059</v>
      </c>
      <c r="P21" s="7">
        <f t="shared" si="20"/>
        <v>5.9933188552326326E-4</v>
      </c>
      <c r="Q21" s="7">
        <f t="shared" si="21"/>
        <v>1.2780791091956734E-2</v>
      </c>
      <c r="R21" s="7">
        <f t="shared" si="22"/>
        <v>1.7724538713565538E-3</v>
      </c>
      <c r="S21" s="7">
        <f t="shared" si="23"/>
        <v>8.990760135923066E-5</v>
      </c>
      <c r="T21" s="7">
        <f t="shared" si="24"/>
        <v>1.0626742763246553E-4</v>
      </c>
      <c r="V21" s="5">
        <f t="shared" si="0"/>
        <v>1.5348751877828247E-2</v>
      </c>
      <c r="X21" s="4">
        <f t="shared" si="1"/>
        <v>0.30627180203148707</v>
      </c>
      <c r="Y21" s="4">
        <f t="shared" si="2"/>
        <v>2.5784399583683282E-2</v>
      </c>
      <c r="Z21" s="4">
        <f t="shared" si="3"/>
        <v>2.4884129991986637E-3</v>
      </c>
      <c r="AA21" s="4">
        <f t="shared" si="4"/>
        <v>3.6783580498944701E-4</v>
      </c>
      <c r="AC21" s="4">
        <f t="shared" si="5"/>
        <v>8.3007251007009061E-3</v>
      </c>
      <c r="AD21" s="4">
        <f t="shared" si="6"/>
        <v>1.1102905800073056E-2</v>
      </c>
      <c r="AE21" s="4">
        <f t="shared" si="7"/>
        <v>1.941629234037915E-2</v>
      </c>
      <c r="AF21" s="4">
        <f t="shared" si="8"/>
        <v>9.173816191661693E-3</v>
      </c>
      <c r="AH21" s="4">
        <f t="shared" si="9"/>
        <v>5.1824302846098583E-3</v>
      </c>
      <c r="AI21" s="4">
        <f t="shared" si="10"/>
        <v>9.1512684123313034E-3</v>
      </c>
      <c r="AJ21" s="4">
        <f t="shared" si="11"/>
        <v>1.2303837387094689E-2</v>
      </c>
      <c r="AK21" s="4">
        <f t="shared" si="12"/>
        <v>5.9421825264564668E-3</v>
      </c>
      <c r="AM21" s="4">
        <f t="shared" si="13"/>
        <v>1.3483155385310764E-2</v>
      </c>
      <c r="AN21" s="4">
        <f t="shared" si="14"/>
        <v>2.0254174212404358E-2</v>
      </c>
      <c r="AO21" s="4">
        <f t="shared" si="15"/>
        <v>3.1720129727473838E-2</v>
      </c>
      <c r="AP21" s="4">
        <f t="shared" si="16"/>
        <v>1.5115998718118161E-2</v>
      </c>
      <c r="AR21" s="4">
        <f t="shared" si="25"/>
        <v>9.5229030610603969E-5</v>
      </c>
      <c r="AS21" s="4">
        <f t="shared" si="17"/>
        <v>4.7243712305624804E-5</v>
      </c>
      <c r="AT21" s="4">
        <f t="shared" si="18"/>
        <v>3.7406048059095913E-4</v>
      </c>
      <c r="AV21" s="5">
        <f t="shared" si="19"/>
        <v>5.1653322350718792E-4</v>
      </c>
    </row>
    <row r="22" spans="1:48">
      <c r="A22" s="4">
        <v>1900</v>
      </c>
      <c r="B22" s="4">
        <v>1340</v>
      </c>
      <c r="C22" s="4">
        <v>0.09</v>
      </c>
      <c r="D22" s="4">
        <v>13.34</v>
      </c>
      <c r="E22" s="8">
        <v>1.6</v>
      </c>
      <c r="F22" s="4">
        <v>4.0920000000000005</v>
      </c>
      <c r="G22" s="8">
        <v>1.6</v>
      </c>
      <c r="H22" s="4">
        <v>12.919603953892878</v>
      </c>
      <c r="I22" s="8">
        <v>1.6</v>
      </c>
      <c r="K22" s="4">
        <v>94.081334876</v>
      </c>
      <c r="L22" s="4">
        <v>15</v>
      </c>
      <c r="M22" s="5">
        <v>5.9186651240000003</v>
      </c>
      <c r="P22" s="7">
        <f t="shared" si="20"/>
        <v>6.0888499273946883E-4</v>
      </c>
      <c r="Q22" s="7">
        <f t="shared" si="21"/>
        <v>1.3235896223007734E-2</v>
      </c>
      <c r="R22" s="7">
        <f t="shared" si="22"/>
        <v>1.8667691167849336E-3</v>
      </c>
      <c r="S22" s="7">
        <f t="shared" si="23"/>
        <v>9.5939270923786881E-5</v>
      </c>
      <c r="T22" s="7">
        <f t="shared" si="24"/>
        <v>1.1342397220009395E-4</v>
      </c>
      <c r="V22" s="5">
        <f t="shared" si="0"/>
        <v>1.5920913575656018E-2</v>
      </c>
      <c r="X22" s="4">
        <f t="shared" si="1"/>
        <v>0.32831135649470222</v>
      </c>
      <c r="Y22" s="4">
        <f t="shared" si="2"/>
        <v>3.0237029291545814E-2</v>
      </c>
      <c r="Z22" s="4">
        <f t="shared" si="3"/>
        <v>3.0904405627704135E-3</v>
      </c>
      <c r="AA22" s="4">
        <f t="shared" si="4"/>
        <v>4.7940499974918893E-4</v>
      </c>
      <c r="AC22" s="4">
        <f t="shared" si="5"/>
        <v>9.1087392989768375E-3</v>
      </c>
      <c r="AD22" s="4">
        <f t="shared" si="6"/>
        <v>1.2186439177688281E-2</v>
      </c>
      <c r="AE22" s="4">
        <f t="shared" si="7"/>
        <v>2.1307263690224929E-2</v>
      </c>
      <c r="AF22" s="4">
        <f t="shared" si="8"/>
        <v>1.0073700871256447E-2</v>
      </c>
      <c r="AH22" s="4">
        <f t="shared" si="9"/>
        <v>5.6908490090102556E-3</v>
      </c>
      <c r="AI22" s="4">
        <f t="shared" si="10"/>
        <v>1.0331449547457263E-2</v>
      </c>
      <c r="AJ22" s="4">
        <f t="shared" si="11"/>
        <v>1.3505367812554566E-2</v>
      </c>
      <c r="AK22" s="4">
        <f t="shared" si="12"/>
        <v>6.521979357031909E-3</v>
      </c>
      <c r="AM22" s="4">
        <f t="shared" si="13"/>
        <v>1.4799588307987093E-2</v>
      </c>
      <c r="AN22" s="4">
        <f t="shared" si="14"/>
        <v>2.2517888725145544E-2</v>
      </c>
      <c r="AO22" s="4">
        <f t="shared" si="15"/>
        <v>3.4812631502779495E-2</v>
      </c>
      <c r="AP22" s="4">
        <f t="shared" si="16"/>
        <v>1.6595680228288355E-2</v>
      </c>
      <c r="AR22" s="4">
        <f t="shared" si="25"/>
        <v>1.0452675265769447E-4</v>
      </c>
      <c r="AS22" s="4">
        <f t="shared" si="17"/>
        <v>5.1849660182648503E-5</v>
      </c>
      <c r="AT22" s="4">
        <f t="shared" si="18"/>
        <v>4.1364910567693295E-4</v>
      </c>
      <c r="AV22" s="5">
        <f t="shared" si="19"/>
        <v>5.7002551851727593E-4</v>
      </c>
    </row>
    <row r="23" spans="1:48">
      <c r="A23" s="4">
        <v>2000</v>
      </c>
      <c r="B23" s="4">
        <v>1410</v>
      </c>
      <c r="C23" s="4">
        <v>9.5000000000000001E-2</v>
      </c>
      <c r="D23" s="4">
        <v>13.877142857142859</v>
      </c>
      <c r="E23" s="8">
        <v>1.6</v>
      </c>
      <c r="F23" s="4">
        <v>4.2359999999999998</v>
      </c>
      <c r="G23" s="8">
        <v>1.6</v>
      </c>
      <c r="H23" s="4">
        <v>13.358797289435984</v>
      </c>
      <c r="I23" s="8">
        <v>1.6</v>
      </c>
      <c r="K23" s="4">
        <v>93.950343481000004</v>
      </c>
      <c r="L23" s="4">
        <v>15</v>
      </c>
      <c r="M23" s="5">
        <v>6.0496565189999956</v>
      </c>
      <c r="P23" s="7">
        <f t="shared" si="20"/>
        <v>6.1961418385002558E-4</v>
      </c>
      <c r="Q23" s="7">
        <f t="shared" si="21"/>
        <v>1.3773386897842625E-2</v>
      </c>
      <c r="R23" s="7">
        <f t="shared" si="22"/>
        <v>1.9808639982533895E-3</v>
      </c>
      <c r="S23" s="7">
        <f t="shared" si="23"/>
        <v>1.0335818701780614E-4</v>
      </c>
      <c r="T23" s="7">
        <f t="shared" si="24"/>
        <v>1.2222955326125545E-4</v>
      </c>
      <c r="V23" s="5">
        <f t="shared" si="0"/>
        <v>1.65994528202251E-2</v>
      </c>
      <c r="X23" s="4">
        <f t="shared" si="1"/>
        <v>0.34958954154745159</v>
      </c>
      <c r="Y23" s="4">
        <f t="shared" si="2"/>
        <v>3.5098380887959135E-2</v>
      </c>
      <c r="Z23" s="4">
        <f t="shared" si="3"/>
        <v>3.7913709682176888E-3</v>
      </c>
      <c r="AA23" s="4">
        <f t="shared" si="4"/>
        <v>6.1632236831365983E-4</v>
      </c>
      <c r="AC23" s="4">
        <f t="shared" si="5"/>
        <v>9.938609461585788E-3</v>
      </c>
      <c r="AD23" s="4">
        <f t="shared" si="6"/>
        <v>1.3299760987250057E-2</v>
      </c>
      <c r="AE23" s="4">
        <f t="shared" si="7"/>
        <v>2.3249431117688166E-2</v>
      </c>
      <c r="AF23" s="4">
        <f t="shared" si="8"/>
        <v>1.0999080608750907E-2</v>
      </c>
      <c r="AH23" s="4">
        <f t="shared" si="9"/>
        <v>6.2136918652571354E-3</v>
      </c>
      <c r="AI23" s="4">
        <f t="shared" si="10"/>
        <v>1.1608669726699307E-2</v>
      </c>
      <c r="AJ23" s="4">
        <f t="shared" si="11"/>
        <v>1.474006505540025E-2</v>
      </c>
      <c r="AK23" s="4">
        <f t="shared" si="12"/>
        <v>7.117707496401067E-3</v>
      </c>
      <c r="AM23" s="4">
        <f t="shared" si="13"/>
        <v>1.6152301326842922E-2</v>
      </c>
      <c r="AN23" s="4">
        <f t="shared" si="14"/>
        <v>2.4908430713949364E-2</v>
      </c>
      <c r="AO23" s="4">
        <f t="shared" si="15"/>
        <v>3.7989496173088416E-2</v>
      </c>
      <c r="AP23" s="4">
        <f t="shared" si="16"/>
        <v>1.8116788105151972E-2</v>
      </c>
      <c r="AR23" s="4">
        <f t="shared" si="25"/>
        <v>1.1408071430826809E-4</v>
      </c>
      <c r="AS23" s="4">
        <f t="shared" si="17"/>
        <v>5.6581257493487469E-5</v>
      </c>
      <c r="AT23" s="4">
        <f t="shared" si="18"/>
        <v>4.5501711457893249E-4</v>
      </c>
      <c r="AV23" s="5">
        <f t="shared" si="19"/>
        <v>6.2567908638068805E-4</v>
      </c>
    </row>
    <row r="24" spans="1:48">
      <c r="A24" s="4">
        <v>2100</v>
      </c>
      <c r="B24" s="4">
        <v>1480</v>
      </c>
      <c r="C24" s="4">
        <v>0.1</v>
      </c>
      <c r="D24" s="4">
        <v>14.402857142857142</v>
      </c>
      <c r="E24" s="8">
        <v>1.6</v>
      </c>
      <c r="F24" s="4">
        <v>4.3800000000000008</v>
      </c>
      <c r="G24" s="8">
        <v>1.6</v>
      </c>
      <c r="H24" s="4">
        <v>13.79799062497908</v>
      </c>
      <c r="I24" s="8">
        <v>1.6</v>
      </c>
      <c r="K24" s="4">
        <v>93.845025160999995</v>
      </c>
      <c r="L24" s="4">
        <v>15</v>
      </c>
      <c r="M24" s="5">
        <v>6.1549748390000047</v>
      </c>
      <c r="P24" s="7">
        <f t="shared" si="20"/>
        <v>6.2798358737113831E-4</v>
      </c>
      <c r="Q24" s="7">
        <f t="shared" si="21"/>
        <v>1.421428065293559E-2</v>
      </c>
      <c r="R24" s="7">
        <f t="shared" si="22"/>
        <v>2.0766512488391334E-3</v>
      </c>
      <c r="S24" s="7">
        <f t="shared" si="23"/>
        <v>1.0968733701752544E-4</v>
      </c>
      <c r="T24" s="7">
        <f t="shared" si="24"/>
        <v>1.2974424773531986E-4</v>
      </c>
      <c r="V24" s="5">
        <f t="shared" si="0"/>
        <v>1.7158347073898707E-2</v>
      </c>
      <c r="X24" s="4">
        <f t="shared" si="1"/>
        <v>0.36997919147009994</v>
      </c>
      <c r="Y24" s="4">
        <f t="shared" si="2"/>
        <v>4.0360490702711749E-2</v>
      </c>
      <c r="Z24" s="4">
        <f t="shared" si="3"/>
        <v>4.5990078260288447E-3</v>
      </c>
      <c r="AA24" s="4">
        <f t="shared" si="4"/>
        <v>7.8239384343103957E-4</v>
      </c>
      <c r="AC24" s="4">
        <f t="shared" si="5"/>
        <v>1.0788419615858556E-2</v>
      </c>
      <c r="AD24" s="4">
        <f t="shared" si="6"/>
        <v>1.4440325356422468E-2</v>
      </c>
      <c r="AE24" s="4">
        <f t="shared" si="7"/>
        <v>2.5238262565134228E-2</v>
      </c>
      <c r="AF24" s="4">
        <f t="shared" si="8"/>
        <v>1.1947872126761537E-2</v>
      </c>
      <c r="AH24" s="4">
        <f t="shared" si="9"/>
        <v>6.749787306608402E-3</v>
      </c>
      <c r="AI24" s="4">
        <f t="shared" si="10"/>
        <v>1.2986927762487969E-2</v>
      </c>
      <c r="AJ24" s="4">
        <f t="shared" si="11"/>
        <v>1.6005110716100172E-2</v>
      </c>
      <c r="AK24" s="4">
        <f t="shared" si="12"/>
        <v>7.728009910927266E-3</v>
      </c>
      <c r="AM24" s="4">
        <f t="shared" si="13"/>
        <v>1.7538206922466958E-2</v>
      </c>
      <c r="AN24" s="4">
        <f t="shared" si="14"/>
        <v>2.7427253118910436E-2</v>
      </c>
      <c r="AO24" s="4">
        <f t="shared" si="15"/>
        <v>4.1243373281234397E-2</v>
      </c>
      <c r="AP24" s="4">
        <f t="shared" si="16"/>
        <v>1.9675882037688802E-2</v>
      </c>
      <c r="AR24" s="4">
        <f t="shared" si="25"/>
        <v>1.2386910898425562E-4</v>
      </c>
      <c r="AS24" s="4">
        <f t="shared" si="17"/>
        <v>6.1427556524917994E-5</v>
      </c>
      <c r="AT24" s="4">
        <f t="shared" si="18"/>
        <v>4.9814348967499157E-4</v>
      </c>
      <c r="AV24" s="5">
        <f t="shared" si="19"/>
        <v>6.8344015518416522E-4</v>
      </c>
    </row>
    <row r="25" spans="1:48">
      <c r="A25" s="4">
        <v>2200</v>
      </c>
      <c r="B25" s="4">
        <v>1550</v>
      </c>
      <c r="C25" s="4">
        <v>0.105</v>
      </c>
      <c r="D25" s="4">
        <v>14.915714285714285</v>
      </c>
      <c r="E25" s="8">
        <v>1.6</v>
      </c>
      <c r="F25" s="4">
        <v>4.524</v>
      </c>
      <c r="G25" s="8">
        <v>1.6</v>
      </c>
      <c r="H25" s="4">
        <v>14.237183960522179</v>
      </c>
      <c r="I25" s="8">
        <v>1.6</v>
      </c>
      <c r="K25" s="4">
        <v>93.742968000000005</v>
      </c>
      <c r="L25" s="4">
        <v>15</v>
      </c>
      <c r="M25" s="5">
        <v>6.2570319999999953</v>
      </c>
      <c r="P25" s="7">
        <f t="shared" si="20"/>
        <v>6.3586702405686775E-4</v>
      </c>
      <c r="Q25" s="7">
        <f t="shared" si="21"/>
        <v>1.4648958367253653E-2</v>
      </c>
      <c r="R25" s="7">
        <f t="shared" si="22"/>
        <v>2.17303560834196E-3</v>
      </c>
      <c r="S25" s="7">
        <f t="shared" si="23"/>
        <v>1.1614636299182053E-4</v>
      </c>
      <c r="T25" s="7">
        <f t="shared" si="24"/>
        <v>1.3741548257742707E-4</v>
      </c>
      <c r="V25" s="5">
        <f t="shared" si="0"/>
        <v>1.771142284522173E-2</v>
      </c>
      <c r="X25" s="4">
        <f t="shared" si="1"/>
        <v>0.38937418476704444</v>
      </c>
      <c r="Y25" s="4">
        <f t="shared" si="2"/>
        <v>4.6011352892680102E-2</v>
      </c>
      <c r="Z25" s="4">
        <f t="shared" si="3"/>
        <v>5.5207081416184245E-3</v>
      </c>
      <c r="AA25" s="4">
        <f t="shared" si="4"/>
        <v>9.8166477233596616E-4</v>
      </c>
      <c r="AC25" s="4">
        <f t="shared" si="5"/>
        <v>1.165643046679669E-2</v>
      </c>
      <c r="AD25" s="4">
        <f t="shared" si="6"/>
        <v>1.5605815589829297E-2</v>
      </c>
      <c r="AE25" s="4">
        <f t="shared" si="7"/>
        <v>2.7269621697857158E-2</v>
      </c>
      <c r="AF25" s="4">
        <f t="shared" si="8"/>
        <v>1.2918173249836979E-2</v>
      </c>
      <c r="AH25" s="4">
        <f t="shared" si="9"/>
        <v>7.2980674553441887E-3</v>
      </c>
      <c r="AI25" s="4">
        <f t="shared" si="10"/>
        <v>1.4469894326981137E-2</v>
      </c>
      <c r="AJ25" s="4">
        <f t="shared" si="11"/>
        <v>1.7297937814921914E-2</v>
      </c>
      <c r="AK25" s="4">
        <f t="shared" si="12"/>
        <v>8.351654722548835E-3</v>
      </c>
      <c r="AM25" s="4">
        <f t="shared" si="13"/>
        <v>1.8954497922140878E-2</v>
      </c>
      <c r="AN25" s="4">
        <f t="shared" si="14"/>
        <v>3.0075709916810432E-2</v>
      </c>
      <c r="AO25" s="4">
        <f t="shared" si="15"/>
        <v>4.4567559512779076E-2</v>
      </c>
      <c r="AP25" s="4">
        <f t="shared" si="16"/>
        <v>2.1269827972385816E-2</v>
      </c>
      <c r="AR25" s="4">
        <f t="shared" si="25"/>
        <v>1.338721101443852E-4</v>
      </c>
      <c r="AS25" s="4">
        <f t="shared" si="17"/>
        <v>6.6378573413017054E-5</v>
      </c>
      <c r="AT25" s="4">
        <f t="shared" si="18"/>
        <v>5.430094056017474E-4</v>
      </c>
      <c r="AV25" s="5">
        <f t="shared" si="19"/>
        <v>7.4326008915914961E-4</v>
      </c>
    </row>
    <row r="26" spans="1:48">
      <c r="A26" s="4">
        <v>2300</v>
      </c>
      <c r="B26" s="4">
        <v>1620</v>
      </c>
      <c r="C26" s="4">
        <v>0.11</v>
      </c>
      <c r="D26" s="4">
        <v>15.42</v>
      </c>
      <c r="E26" s="8">
        <v>1.6</v>
      </c>
      <c r="F26" s="4">
        <v>4.6679999999999993</v>
      </c>
      <c r="G26" s="8">
        <v>1.6</v>
      </c>
      <c r="H26" s="4">
        <v>14.676377296065281</v>
      </c>
      <c r="I26" s="8">
        <v>1.6</v>
      </c>
      <c r="K26" s="4">
        <v>93.643976085999995</v>
      </c>
      <c r="L26" s="4">
        <v>15</v>
      </c>
      <c r="M26" s="5">
        <v>6.356023914000005</v>
      </c>
      <c r="P26" s="7">
        <f t="shared" si="20"/>
        <v>6.4329338967168811E-4</v>
      </c>
      <c r="Q26" s="7">
        <f t="shared" si="21"/>
        <v>1.5077567871773046E-2</v>
      </c>
      <c r="R26" s="7">
        <f t="shared" si="22"/>
        <v>2.2699765927672848E-3</v>
      </c>
      <c r="S26" s="7">
        <f t="shared" si="23"/>
        <v>1.2273212491272726E-4</v>
      </c>
      <c r="T26" s="7">
        <f t="shared" si="24"/>
        <v>1.4523957907783329E-4</v>
      </c>
      <c r="V26" s="5">
        <f t="shared" si="0"/>
        <v>1.8258809558202575E-2</v>
      </c>
      <c r="X26" s="4">
        <f t="shared" si="1"/>
        <v>0.4076884381633098</v>
      </c>
      <c r="Y26" s="4">
        <f t="shared" si="2"/>
        <v>5.203527522961815E-2</v>
      </c>
      <c r="Z26" s="4">
        <f t="shared" si="3"/>
        <v>6.5632868811693612E-3</v>
      </c>
      <c r="AA26" s="4">
        <f t="shared" si="4"/>
        <v>1.2183958603492195E-3</v>
      </c>
      <c r="AC26" s="4">
        <f t="shared" si="5"/>
        <v>1.2541066852191741E-2</v>
      </c>
      <c r="AD26" s="4">
        <f t="shared" si="6"/>
        <v>1.6794127369380053E-2</v>
      </c>
      <c r="AE26" s="4">
        <f t="shared" si="7"/>
        <v>2.9339737831709733E-2</v>
      </c>
      <c r="AF26" s="4">
        <f t="shared" si="8"/>
        <v>1.3908249720631483E-2</v>
      </c>
      <c r="AH26" s="4">
        <f t="shared" si="9"/>
        <v>7.8575607521777831E-3</v>
      </c>
      <c r="AI26" s="4">
        <f t="shared" si="10"/>
        <v>1.6060820547470139E-2</v>
      </c>
      <c r="AJ26" s="4">
        <f t="shared" si="11"/>
        <v>1.8616212154743864E-2</v>
      </c>
      <c r="AK26" s="4">
        <f t="shared" si="12"/>
        <v>8.9875263881986495E-3</v>
      </c>
      <c r="AM26" s="4">
        <f t="shared" si="13"/>
        <v>2.0398627604369522E-2</v>
      </c>
      <c r="AN26" s="4">
        <f t="shared" si="14"/>
        <v>3.2854947916850188E-2</v>
      </c>
      <c r="AO26" s="4">
        <f t="shared" si="15"/>
        <v>4.7955949986453597E-2</v>
      </c>
      <c r="AP26" s="4">
        <f t="shared" si="16"/>
        <v>2.2895776108830132E-2</v>
      </c>
      <c r="AR26" s="4">
        <f t="shared" si="25"/>
        <v>1.4407173076616176E-4</v>
      </c>
      <c r="AS26" s="4">
        <f t="shared" si="17"/>
        <v>7.1425215595528302E-5</v>
      </c>
      <c r="AT26" s="4">
        <f t="shared" si="18"/>
        <v>5.8959685222075714E-4</v>
      </c>
      <c r="AV26" s="5">
        <f t="shared" si="19"/>
        <v>8.0509379858244713E-4</v>
      </c>
    </row>
    <row r="27" spans="1:48">
      <c r="A27" s="4">
        <v>2400</v>
      </c>
      <c r="B27" s="4">
        <v>1690</v>
      </c>
      <c r="C27" s="4">
        <v>0.115</v>
      </c>
      <c r="D27" s="4">
        <v>15.914285714285713</v>
      </c>
      <c r="E27" s="8">
        <v>1.6</v>
      </c>
      <c r="F27" s="4">
        <v>4.8119999999999994</v>
      </c>
      <c r="G27" s="8">
        <v>1.6</v>
      </c>
      <c r="H27" s="4">
        <v>15.115570631608382</v>
      </c>
      <c r="I27" s="8">
        <v>1.6</v>
      </c>
      <c r="K27" s="4">
        <v>93.566868873999994</v>
      </c>
      <c r="L27" s="4">
        <v>15</v>
      </c>
      <c r="M27" s="5">
        <v>6.4331311260000064</v>
      </c>
      <c r="P27" s="7">
        <f t="shared" si="20"/>
        <v>6.4892335624789211E-4</v>
      </c>
      <c r="Q27" s="7">
        <f t="shared" si="21"/>
        <v>1.5416183445553054E-2</v>
      </c>
      <c r="R27" s="7">
        <f t="shared" si="22"/>
        <v>2.3479047597967087E-3</v>
      </c>
      <c r="S27" s="7">
        <f t="shared" si="23"/>
        <v>1.2808995759026746E-4</v>
      </c>
      <c r="T27" s="7">
        <f t="shared" si="24"/>
        <v>1.5160654126994983E-4</v>
      </c>
      <c r="V27" s="5">
        <f t="shared" si="0"/>
        <v>1.8692708060457877E-2</v>
      </c>
      <c r="X27" s="4">
        <f t="shared" si="1"/>
        <v>0.42485464113393057</v>
      </c>
      <c r="Y27" s="4">
        <f t="shared" si="2"/>
        <v>5.8413270955946284E-2</v>
      </c>
      <c r="Z27" s="4">
        <f t="shared" si="3"/>
        <v>7.7329340007966652E-3</v>
      </c>
      <c r="AA27" s="4">
        <f t="shared" si="4"/>
        <v>1.4970363184331203E-3</v>
      </c>
      <c r="AC27" s="4">
        <f t="shared" si="5"/>
        <v>1.3440903032305643E-2</v>
      </c>
      <c r="AD27" s="4">
        <f t="shared" si="6"/>
        <v>1.8003349204627761E-2</v>
      </c>
      <c r="AE27" s="4">
        <f t="shared" si="7"/>
        <v>3.1445171403588622E-2</v>
      </c>
      <c r="AF27" s="4">
        <f t="shared" si="8"/>
        <v>1.4916519794423679E-2</v>
      </c>
      <c r="AH27" s="4">
        <f t="shared" si="9"/>
        <v>8.427383297350835E-3</v>
      </c>
      <c r="AI27" s="4">
        <f t="shared" si="10"/>
        <v>1.7762457150965364E-2</v>
      </c>
      <c r="AJ27" s="4">
        <f t="shared" si="11"/>
        <v>1.9957810695005719E-2</v>
      </c>
      <c r="AK27" s="4">
        <f t="shared" si="12"/>
        <v>9.6346153179266321E-3</v>
      </c>
      <c r="AM27" s="4">
        <f t="shared" si="13"/>
        <v>2.1868286329656476E-2</v>
      </c>
      <c r="AN27" s="4">
        <f t="shared" si="14"/>
        <v>3.5765806355593122E-2</v>
      </c>
      <c r="AO27" s="4">
        <f t="shared" si="15"/>
        <v>5.1402982098594341E-2</v>
      </c>
      <c r="AP27" s="4">
        <f t="shared" si="16"/>
        <v>2.4551135112350311E-2</v>
      </c>
      <c r="AR27" s="4">
        <f t="shared" si="25"/>
        <v>1.5445165829336104E-4</v>
      </c>
      <c r="AS27" s="4">
        <f t="shared" si="17"/>
        <v>7.6559198174205382E-5</v>
      </c>
      <c r="AT27" s="4">
        <f t="shared" si="18"/>
        <v>6.3788730005913386E-4</v>
      </c>
      <c r="AV27" s="5">
        <f t="shared" si="19"/>
        <v>8.6889815652670024E-4</v>
      </c>
    </row>
    <row r="28" spans="1:48">
      <c r="A28" s="4">
        <v>2500</v>
      </c>
      <c r="B28" s="4">
        <v>1760</v>
      </c>
      <c r="C28" s="4">
        <v>0.12</v>
      </c>
      <c r="D28" s="4">
        <v>16.395714285714284</v>
      </c>
      <c r="E28" s="8">
        <v>1.6</v>
      </c>
      <c r="F28" s="4">
        <v>4.9559999999999995</v>
      </c>
      <c r="G28" s="8">
        <v>1.6</v>
      </c>
      <c r="H28" s="4">
        <v>15.554763967151484</v>
      </c>
      <c r="I28" s="8">
        <v>1.6</v>
      </c>
      <c r="K28" s="4">
        <v>93.472954173999995</v>
      </c>
      <c r="L28" s="4">
        <v>15</v>
      </c>
      <c r="M28" s="5">
        <v>6.5270458260000055</v>
      </c>
      <c r="P28" s="7">
        <f t="shared" si="20"/>
        <v>6.5559272128002841E-4</v>
      </c>
      <c r="Q28" s="7">
        <f t="shared" si="21"/>
        <v>1.5834231279339701E-2</v>
      </c>
      <c r="R28" s="7">
        <f t="shared" si="22"/>
        <v>2.4457545281459641E-3</v>
      </c>
      <c r="S28" s="7">
        <f t="shared" si="23"/>
        <v>1.3489634195426497E-4</v>
      </c>
      <c r="T28" s="7">
        <f t="shared" si="24"/>
        <v>1.5969699473310315E-4</v>
      </c>
      <c r="V28" s="5">
        <f t="shared" si="0"/>
        <v>1.9230171865453061E-2</v>
      </c>
      <c r="X28" s="4">
        <f t="shared" si="1"/>
        <v>0.44082282107057813</v>
      </c>
      <c r="Y28" s="4">
        <f t="shared" si="2"/>
        <v>6.5123472655561954E-2</v>
      </c>
      <c r="Z28" s="4">
        <f t="shared" si="3"/>
        <v>9.0351446170037208E-3</v>
      </c>
      <c r="AA28" s="4">
        <f t="shared" si="4"/>
        <v>1.822194791712195E-3</v>
      </c>
      <c r="AC28" s="4">
        <f t="shared" si="5"/>
        <v>1.4354646989574726E-2</v>
      </c>
      <c r="AD28" s="4">
        <f t="shared" si="6"/>
        <v>1.923174168726443E-2</v>
      </c>
      <c r="AE28" s="4">
        <f t="shared" si="7"/>
        <v>3.3582777697872254E-2</v>
      </c>
      <c r="AF28" s="4">
        <f t="shared" si="8"/>
        <v>1.5941537864229027E-2</v>
      </c>
      <c r="AH28" s="4">
        <f t="shared" si="9"/>
        <v>9.0067295926838271E-3</v>
      </c>
      <c r="AI28" s="4">
        <f t="shared" si="10"/>
        <v>1.9576985925192171E-2</v>
      </c>
      <c r="AJ28" s="4">
        <f t="shared" si="11"/>
        <v>2.1320798652747799E-2</v>
      </c>
      <c r="AK28" s="4">
        <f t="shared" si="12"/>
        <v>1.0292006766951826E-2</v>
      </c>
      <c r="AM28" s="4">
        <f t="shared" si="13"/>
        <v>2.3361376582258554E-2</v>
      </c>
      <c r="AN28" s="4">
        <f t="shared" si="14"/>
        <v>3.8808727612456601E-2</v>
      </c>
      <c r="AO28" s="4">
        <f t="shared" si="15"/>
        <v>5.4903576350620056E-2</v>
      </c>
      <c r="AP28" s="4">
        <f t="shared" si="16"/>
        <v>2.6233544631180855E-2</v>
      </c>
      <c r="AR28" s="4">
        <f t="shared" si="25"/>
        <v>1.6499707836056145E-4</v>
      </c>
      <c r="AS28" s="4">
        <f t="shared" si="17"/>
        <v>8.1772955783720604E-5</v>
      </c>
      <c r="AT28" s="4">
        <f t="shared" si="18"/>
        <v>6.8786046542587838E-4</v>
      </c>
      <c r="AV28" s="5">
        <f t="shared" si="19"/>
        <v>9.3463049957016051E-4</v>
      </c>
    </row>
    <row r="29" spans="1:48">
      <c r="A29" s="4">
        <v>2600</v>
      </c>
      <c r="B29" s="4">
        <v>1830</v>
      </c>
      <c r="C29" s="4">
        <v>0.125</v>
      </c>
      <c r="D29" s="4">
        <v>16.868571428571428</v>
      </c>
      <c r="E29" s="8">
        <v>1.6</v>
      </c>
      <c r="F29" s="4">
        <v>5.0999999999999996</v>
      </c>
      <c r="G29" s="8">
        <v>1.6</v>
      </c>
      <c r="H29" s="4">
        <v>15.993957302694584</v>
      </c>
      <c r="I29" s="8">
        <v>1.6</v>
      </c>
      <c r="K29" s="4">
        <v>93.381641326999997</v>
      </c>
      <c r="L29" s="4">
        <v>15</v>
      </c>
      <c r="M29" s="5">
        <v>6.618358673000003</v>
      </c>
      <c r="P29" s="7">
        <f t="shared" si="20"/>
        <v>6.6187456634521304E-4</v>
      </c>
      <c r="Q29" s="7">
        <f t="shared" si="21"/>
        <v>1.6246605504891848E-2</v>
      </c>
      <c r="R29" s="7">
        <f t="shared" si="22"/>
        <v>2.5440618458322769E-3</v>
      </c>
      <c r="S29" s="7">
        <f t="shared" si="23"/>
        <v>1.4182133796317118E-4</v>
      </c>
      <c r="T29" s="7">
        <f t="shared" si="24"/>
        <v>1.6793078423162411E-4</v>
      </c>
      <c r="V29" s="5">
        <f t="shared" si="0"/>
        <v>1.9762294039264133E-2</v>
      </c>
      <c r="X29" s="4">
        <f t="shared" si="1"/>
        <v>0.45555881223057682</v>
      </c>
      <c r="Y29" s="4">
        <f t="shared" si="2"/>
        <v>7.2141555906486077E-2</v>
      </c>
      <c r="Z29" s="4">
        <f t="shared" si="3"/>
        <v>1.0474662579093685E-2</v>
      </c>
      <c r="AA29" s="4">
        <f t="shared" si="4"/>
        <v>2.1986086415773931E-3</v>
      </c>
      <c r="AC29" s="4">
        <f t="shared" si="5"/>
        <v>1.5281124616641826E-2</v>
      </c>
      <c r="AD29" s="4">
        <f t="shared" si="6"/>
        <v>2.0477716704731495E-2</v>
      </c>
      <c r="AE29" s="4">
        <f t="shared" si="7"/>
        <v>3.5749670823676687E-2</v>
      </c>
      <c r="AF29" s="4">
        <f t="shared" si="8"/>
        <v>1.6981978046147796E-2</v>
      </c>
      <c r="AH29" s="4">
        <f t="shared" si="9"/>
        <v>9.5948632139792617E-3</v>
      </c>
      <c r="AI29" s="4">
        <f t="shared" si="10"/>
        <v>2.1505964603703485E-2</v>
      </c>
      <c r="AJ29" s="4">
        <f t="shared" si="11"/>
        <v>2.2703406603298327E-2</v>
      </c>
      <c r="AK29" s="4">
        <f t="shared" si="12"/>
        <v>1.095886962693594E-2</v>
      </c>
      <c r="AM29" s="4">
        <f t="shared" si="13"/>
        <v>2.4875987830621088E-2</v>
      </c>
      <c r="AN29" s="4">
        <f t="shared" si="14"/>
        <v>4.1983681308434981E-2</v>
      </c>
      <c r="AO29" s="4">
        <f t="shared" si="15"/>
        <v>5.8453077426975017E-2</v>
      </c>
      <c r="AP29" s="4">
        <f t="shared" si="16"/>
        <v>2.7940847673083736E-2</v>
      </c>
      <c r="AR29" s="4">
        <f t="shared" si="25"/>
        <v>1.7569449723705218E-4</v>
      </c>
      <c r="AS29" s="4">
        <f t="shared" si="17"/>
        <v>8.7059554833615922E-5</v>
      </c>
      <c r="AT29" s="4">
        <f t="shared" si="18"/>
        <v>7.3949321557747159E-4</v>
      </c>
      <c r="AV29" s="5">
        <f t="shared" si="19"/>
        <v>1.0022472676481397E-3</v>
      </c>
    </row>
    <row r="30" spans="1:48">
      <c r="A30" s="4">
        <v>2700</v>
      </c>
      <c r="B30" s="4">
        <v>1900</v>
      </c>
      <c r="C30" s="4">
        <v>0.13</v>
      </c>
      <c r="D30" s="4">
        <v>17.331428571428571</v>
      </c>
      <c r="E30" s="8">
        <v>1.6</v>
      </c>
      <c r="F30" s="4">
        <v>5.2439999999999998</v>
      </c>
      <c r="G30" s="8">
        <v>1.6</v>
      </c>
      <c r="H30" s="4">
        <v>16.433150638237684</v>
      </c>
      <c r="I30" s="8">
        <v>1.6</v>
      </c>
      <c r="K30" s="4">
        <v>93.310369729000001</v>
      </c>
      <c r="L30" s="4">
        <v>15</v>
      </c>
      <c r="M30" s="5">
        <v>6.6896302709999986</v>
      </c>
      <c r="P30" s="7">
        <f t="shared" si="20"/>
        <v>6.6663545876532505E-4</v>
      </c>
      <c r="Q30" s="7">
        <f t="shared" si="21"/>
        <v>1.6572509880733402E-2</v>
      </c>
      <c r="R30" s="7">
        <f t="shared" si="22"/>
        <v>2.6230162489008458E-3</v>
      </c>
      <c r="S30" s="7">
        <f t="shared" si="23"/>
        <v>1.474449268797664E-4</v>
      </c>
      <c r="T30" s="7">
        <f t="shared" si="24"/>
        <v>1.7461889595971086E-4</v>
      </c>
      <c r="V30" s="5">
        <f t="shared" si="0"/>
        <v>2.0184225411239053E-2</v>
      </c>
      <c r="X30" s="4">
        <f t="shared" si="1"/>
        <v>0.46904268657374537</v>
      </c>
      <c r="Y30" s="4">
        <f t="shared" si="2"/>
        <v>7.944116233483467E-2</v>
      </c>
      <c r="Z30" s="4">
        <f t="shared" si="3"/>
        <v>1.2055437347779363E-2</v>
      </c>
      <c r="AA30" s="4">
        <f t="shared" si="4"/>
        <v>2.6311121353500555E-3</v>
      </c>
      <c r="AC30" s="4">
        <f t="shared" si="5"/>
        <v>1.6219264423330628E-2</v>
      </c>
      <c r="AD30" s="4">
        <f t="shared" si="6"/>
        <v>2.1739817436099484E-2</v>
      </c>
      <c r="AE30" s="4">
        <f t="shared" si="7"/>
        <v>3.7943189343733363E-2</v>
      </c>
      <c r="AF30" s="4">
        <f t="shared" si="8"/>
        <v>1.8036618386637584E-2</v>
      </c>
      <c r="AH30" s="4">
        <f t="shared" si="9"/>
        <v>1.019110779339227E-2</v>
      </c>
      <c r="AI30" s="4">
        <f t="shared" si="10"/>
        <v>2.3550285704889731E-2</v>
      </c>
      <c r="AJ30" s="4">
        <f t="shared" si="11"/>
        <v>2.4104008484913925E-2</v>
      </c>
      <c r="AK30" s="4">
        <f t="shared" si="12"/>
        <v>1.1634445566634535E-2</v>
      </c>
      <c r="AM30" s="4">
        <f t="shared" si="13"/>
        <v>2.6410372216722898E-2</v>
      </c>
      <c r="AN30" s="4">
        <f t="shared" si="14"/>
        <v>4.5290103140989219E-2</v>
      </c>
      <c r="AO30" s="4">
        <f t="shared" si="15"/>
        <v>6.2047197828647288E-2</v>
      </c>
      <c r="AP30" s="4">
        <f t="shared" si="16"/>
        <v>2.9671063953272118E-2</v>
      </c>
      <c r="AR30" s="4">
        <f t="shared" si="25"/>
        <v>1.8653157012517676E-4</v>
      </c>
      <c r="AS30" s="4">
        <f t="shared" si="17"/>
        <v>9.2412609556507316E-5</v>
      </c>
      <c r="AT30" s="4">
        <f t="shared" si="18"/>
        <v>7.9275863999922935E-4</v>
      </c>
      <c r="AV30" s="5">
        <f t="shared" si="19"/>
        <v>1.0717028196809133E-3</v>
      </c>
    </row>
    <row r="31" spans="1:48">
      <c r="A31" s="4">
        <v>2800</v>
      </c>
      <c r="B31" s="4">
        <v>1970</v>
      </c>
      <c r="C31" s="4">
        <v>0.13500000000000001</v>
      </c>
      <c r="D31" s="4">
        <v>17.787142857142857</v>
      </c>
      <c r="E31" s="8">
        <v>1.6</v>
      </c>
      <c r="F31" s="4">
        <v>5.3879999999999999</v>
      </c>
      <c r="G31" s="8">
        <v>1.6</v>
      </c>
      <c r="H31" s="4">
        <v>16.872343973780783</v>
      </c>
      <c r="I31" s="8">
        <v>1.6</v>
      </c>
      <c r="K31" s="4">
        <v>93.223394155999998</v>
      </c>
      <c r="L31" s="4">
        <v>15</v>
      </c>
      <c r="M31" s="5">
        <v>6.7766058440000023</v>
      </c>
      <c r="P31" s="7">
        <f t="shared" si="20"/>
        <v>6.7227264148736335E-4</v>
      </c>
      <c r="Q31" s="7">
        <f t="shared" si="21"/>
        <v>1.6975006017168604E-2</v>
      </c>
      <c r="R31" s="7">
        <f t="shared" si="22"/>
        <v>2.7220704426081186E-3</v>
      </c>
      <c r="S31" s="7">
        <f t="shared" si="23"/>
        <v>1.545767253042339E-4</v>
      </c>
      <c r="T31" s="7">
        <f t="shared" si="24"/>
        <v>1.8310282931850589E-4</v>
      </c>
      <c r="V31" s="5">
        <f t="shared" si="0"/>
        <v>2.070702865588683E-2</v>
      </c>
      <c r="X31" s="4">
        <f t="shared" si="1"/>
        <v>0.48126719156939446</v>
      </c>
      <c r="Y31" s="4">
        <f t="shared" si="2"/>
        <v>8.6994313492819386E-2</v>
      </c>
      <c r="Z31" s="4">
        <f t="shared" si="3"/>
        <v>1.3780593789061157E-2</v>
      </c>
      <c r="AA31" s="4">
        <f t="shared" si="4"/>
        <v>3.1246040675939613E-3</v>
      </c>
      <c r="AC31" s="4">
        <f t="shared" si="5"/>
        <v>1.7168083192020126E-2</v>
      </c>
      <c r="AD31" s="4">
        <f t="shared" si="6"/>
        <v>2.3016699684697141E-2</v>
      </c>
      <c r="AE31" s="4">
        <f t="shared" si="7"/>
        <v>4.0160864477618609E-2</v>
      </c>
      <c r="AF31" s="4">
        <f t="shared" si="8"/>
        <v>1.9104326136640964E-2</v>
      </c>
      <c r="AH31" s="4">
        <f t="shared" si="9"/>
        <v>1.0794838569850399E-2</v>
      </c>
      <c r="AI31" s="4">
        <f t="shared" si="10"/>
        <v>2.571014935994247E-2</v>
      </c>
      <c r="AJ31" s="4">
        <f t="shared" si="11"/>
        <v>2.5521101113854756E-2</v>
      </c>
      <c r="AK31" s="4">
        <f t="shared" si="12"/>
        <v>1.2318038829696763E-2</v>
      </c>
      <c r="AM31" s="4">
        <f t="shared" si="13"/>
        <v>2.7962921761870527E-2</v>
      </c>
      <c r="AN31" s="4">
        <f t="shared" si="14"/>
        <v>4.8726849044639614E-2</v>
      </c>
      <c r="AO31" s="4">
        <f t="shared" si="15"/>
        <v>6.5681965591473365E-2</v>
      </c>
      <c r="AP31" s="4">
        <f t="shared" si="16"/>
        <v>3.1422364966337726E-2</v>
      </c>
      <c r="AR31" s="4">
        <f t="shared" si="25"/>
        <v>1.9749694016907727E-4</v>
      </c>
      <c r="AS31" s="4">
        <f t="shared" si="17"/>
        <v>9.7826204140137989E-5</v>
      </c>
      <c r="AT31" s="4">
        <f t="shared" si="18"/>
        <v>8.4762530199738312E-4</v>
      </c>
      <c r="AV31" s="5">
        <f t="shared" si="19"/>
        <v>1.1429484463065984E-3</v>
      </c>
    </row>
    <row r="32" spans="1:48">
      <c r="A32" s="4">
        <v>2900</v>
      </c>
      <c r="B32" s="4">
        <v>2040</v>
      </c>
      <c r="C32" s="4">
        <v>0.14000000000000001</v>
      </c>
      <c r="D32" s="4">
        <v>18.234285714285711</v>
      </c>
      <c r="E32" s="8">
        <v>1.6</v>
      </c>
      <c r="F32" s="4">
        <v>5.5319999999999991</v>
      </c>
      <c r="G32" s="8">
        <v>1.6</v>
      </c>
      <c r="H32" s="4">
        <v>17.311537309323885</v>
      </c>
      <c r="I32" s="8">
        <v>1.6</v>
      </c>
      <c r="K32" s="4">
        <v>93.155429212000001</v>
      </c>
      <c r="L32" s="4">
        <v>15</v>
      </c>
      <c r="M32" s="5">
        <v>6.8445707879999986</v>
      </c>
      <c r="P32" s="7">
        <f t="shared" si="20"/>
        <v>6.7654291904152076E-4</v>
      </c>
      <c r="Q32" s="7">
        <f t="shared" si="21"/>
        <v>1.7293174605241018E-2</v>
      </c>
      <c r="R32" s="7">
        <f t="shared" si="22"/>
        <v>2.8015856030092008E-3</v>
      </c>
      <c r="S32" s="7">
        <f t="shared" si="23"/>
        <v>1.6036245120210925E-4</v>
      </c>
      <c r="T32" s="7">
        <f t="shared" si="24"/>
        <v>1.8998717598656291E-4</v>
      </c>
      <c r="V32" s="5">
        <f t="shared" si="0"/>
        <v>2.112165275448041E-2</v>
      </c>
      <c r="X32" s="4">
        <f t="shared" si="1"/>
        <v>0.49223622900196307</v>
      </c>
      <c r="Y32" s="4">
        <f t="shared" si="2"/>
        <v>9.4771808680296665E-2</v>
      </c>
      <c r="Z32" s="4">
        <f t="shared" si="3"/>
        <v>1.5652414256299152E-2</v>
      </c>
      <c r="AA32" s="4">
        <f t="shared" si="4"/>
        <v>3.6840152987828167E-3</v>
      </c>
      <c r="AC32" s="4">
        <f t="shared" si="5"/>
        <v>1.8126672851480684E-2</v>
      </c>
      <c r="AD32" s="4">
        <f t="shared" si="6"/>
        <v>2.4307114889829836E-2</v>
      </c>
      <c r="AE32" s="4">
        <f t="shared" si="7"/>
        <v>4.2400391427358221E-2</v>
      </c>
      <c r="AF32" s="4">
        <f t="shared" si="8"/>
        <v>2.0184044366519334E-2</v>
      </c>
      <c r="AH32" s="4">
        <f t="shared" si="9"/>
        <v>1.1405474669387725E-2</v>
      </c>
      <c r="AI32" s="4">
        <f t="shared" si="10"/>
        <v>2.7985049751689719E-2</v>
      </c>
      <c r="AJ32" s="4">
        <f t="shared" si="11"/>
        <v>2.6953285581545555E-2</v>
      </c>
      <c r="AK32" s="4">
        <f t="shared" si="12"/>
        <v>1.3009006884408189E-2</v>
      </c>
      <c r="AM32" s="4">
        <f t="shared" si="13"/>
        <v>2.9532147520868409E-2</v>
      </c>
      <c r="AN32" s="4">
        <f t="shared" si="14"/>
        <v>5.2292164641519555E-2</v>
      </c>
      <c r="AO32" s="4">
        <f t="shared" si="15"/>
        <v>6.9353677008903769E-2</v>
      </c>
      <c r="AP32" s="4">
        <f t="shared" si="16"/>
        <v>3.3193051250927523E-2</v>
      </c>
      <c r="AR32" s="4">
        <f t="shared" si="25"/>
        <v>2.0858009122445715E-4</v>
      </c>
      <c r="AS32" s="4">
        <f t="shared" si="17"/>
        <v>1.0329482231303643E-4</v>
      </c>
      <c r="AT32" s="4">
        <f t="shared" si="18"/>
        <v>9.0405667518115413E-4</v>
      </c>
      <c r="AV32" s="5">
        <f t="shared" si="19"/>
        <v>1.2159315887186476E-3</v>
      </c>
    </row>
    <row r="33" spans="1:48">
      <c r="A33" s="4">
        <v>3000</v>
      </c>
      <c r="B33" s="4">
        <v>2110</v>
      </c>
      <c r="C33" s="4">
        <v>0.14499999999999999</v>
      </c>
      <c r="D33" s="4">
        <v>18.672857142857143</v>
      </c>
      <c r="E33" s="8">
        <v>1.6</v>
      </c>
      <c r="F33" s="4">
        <v>5.6760000000000002</v>
      </c>
      <c r="G33" s="8">
        <v>1.6</v>
      </c>
      <c r="H33" s="4">
        <v>17.750730644866991</v>
      </c>
      <c r="I33" s="8">
        <v>1.6</v>
      </c>
      <c r="K33" s="4">
        <v>93.072397542000004</v>
      </c>
      <c r="L33" s="4">
        <v>15</v>
      </c>
      <c r="M33" s="5">
        <v>6.9276024579999955</v>
      </c>
      <c r="P33" s="7">
        <f t="shared" si="20"/>
        <v>6.8159616192478816E-4</v>
      </c>
      <c r="Q33" s="7">
        <f t="shared" si="21"/>
        <v>1.7686203609702158E-2</v>
      </c>
      <c r="R33" s="7">
        <f t="shared" si="22"/>
        <v>2.9012975328328765E-3</v>
      </c>
      <c r="S33" s="7">
        <f t="shared" si="23"/>
        <v>1.6769293400544497E-4</v>
      </c>
      <c r="T33" s="7">
        <f t="shared" si="24"/>
        <v>1.9871172056950751E-4</v>
      </c>
      <c r="V33" s="5">
        <f t="shared" si="0"/>
        <v>2.1635501959034777E-2</v>
      </c>
      <c r="X33" s="4">
        <f t="shared" si="1"/>
        <v>0.50196339958534308</v>
      </c>
      <c r="Y33" s="4">
        <f t="shared" si="2"/>
        <v>0.10274360138324568</v>
      </c>
      <c r="Z33" s="4">
        <f t="shared" si="3"/>
        <v>1.7672332152248726E-2</v>
      </c>
      <c r="AA33" s="4">
        <f t="shared" si="4"/>
        <v>4.3142766526845788E-3</v>
      </c>
      <c r="AC33" s="4">
        <f t="shared" si="5"/>
        <v>1.9094188716030261E-2</v>
      </c>
      <c r="AD33" s="4">
        <f t="shared" si="6"/>
        <v>2.5609894996666598E-2</v>
      </c>
      <c r="AE33" s="4">
        <f t="shared" si="7"/>
        <v>4.4659604087674921E-2</v>
      </c>
      <c r="AF33" s="4">
        <f t="shared" si="8"/>
        <v>2.1274780064307046E-2</v>
      </c>
      <c r="AH33" s="4">
        <f t="shared" si="9"/>
        <v>1.2022472202961565E-2</v>
      </c>
      <c r="AI33" s="4">
        <f t="shared" si="10"/>
        <v>3.0373774450959866E-2</v>
      </c>
      <c r="AJ33" s="4">
        <f t="shared" si="11"/>
        <v>2.839925072506046E-2</v>
      </c>
      <c r="AK33" s="4">
        <f t="shared" si="12"/>
        <v>1.3706752032703452E-2</v>
      </c>
      <c r="AM33" s="4">
        <f t="shared" si="13"/>
        <v>3.1116660918991824E-2</v>
      </c>
      <c r="AN33" s="4">
        <f t="shared" si="14"/>
        <v>5.5983669447626463E-2</v>
      </c>
      <c r="AO33" s="4">
        <f t="shared" si="15"/>
        <v>7.3058854812735385E-2</v>
      </c>
      <c r="AP33" s="4">
        <f t="shared" si="16"/>
        <v>3.49815320970105E-2</v>
      </c>
      <c r="AR33" s="4">
        <f t="shared" si="25"/>
        <v>2.1977121604507561E-4</v>
      </c>
      <c r="AS33" s="4">
        <f t="shared" si="17"/>
        <v>1.0881328505922737E-4</v>
      </c>
      <c r="AT33" s="4">
        <f t="shared" si="18"/>
        <v>9.6201076182687731E-4</v>
      </c>
      <c r="AV33" s="5">
        <f t="shared" si="19"/>
        <v>1.2905952629311804E-3</v>
      </c>
    </row>
    <row r="34" spans="1:48">
      <c r="A34" s="4">
        <v>3100</v>
      </c>
      <c r="B34" s="4">
        <v>2180</v>
      </c>
      <c r="C34" s="4">
        <v>0.15</v>
      </c>
      <c r="D34" s="4">
        <v>19.104285714285712</v>
      </c>
      <c r="E34" s="8">
        <v>1.6</v>
      </c>
      <c r="F34" s="4">
        <v>5.82</v>
      </c>
      <c r="G34" s="8">
        <v>1.6</v>
      </c>
      <c r="H34" s="4">
        <v>18.189923980410086</v>
      </c>
      <c r="I34" s="8">
        <v>1.6</v>
      </c>
      <c r="K34" s="4">
        <v>93.007446021999996</v>
      </c>
      <c r="L34" s="4">
        <v>15</v>
      </c>
      <c r="M34" s="5">
        <v>6.9925539780000037</v>
      </c>
      <c r="P34" s="7">
        <f t="shared" si="20"/>
        <v>6.8542133967052269E-4</v>
      </c>
      <c r="Q34" s="7">
        <f t="shared" si="21"/>
        <v>1.7996956347444963E-2</v>
      </c>
      <c r="R34" s="7">
        <f t="shared" si="22"/>
        <v>2.9813061859265012E-3</v>
      </c>
      <c r="S34" s="7">
        <f t="shared" si="23"/>
        <v>1.7363451966119752E-4</v>
      </c>
      <c r="T34" s="7">
        <f t="shared" si="24"/>
        <v>2.0578492850930569E-4</v>
      </c>
      <c r="V34" s="5">
        <f t="shared" si="0"/>
        <v>2.2043103321212492E-2</v>
      </c>
      <c r="X34" s="4">
        <f t="shared" si="1"/>
        <v>0.51047063063299591</v>
      </c>
      <c r="Y34" s="4">
        <f t="shared" si="2"/>
        <v>0.11087915039299334</v>
      </c>
      <c r="Z34" s="4">
        <f t="shared" si="3"/>
        <v>1.9840936031508827E-2</v>
      </c>
      <c r="AA34" s="4">
        <f t="shared" si="4"/>
        <v>5.0202875656866208E-3</v>
      </c>
      <c r="AC34" s="4">
        <f t="shared" si="5"/>
        <v>2.0069839144184785E-2</v>
      </c>
      <c r="AD34" s="4">
        <f t="shared" si="6"/>
        <v>2.6923939241225471E-2</v>
      </c>
      <c r="AE34" s="4">
        <f t="shared" si="7"/>
        <v>4.6936453191810751E-2</v>
      </c>
      <c r="AF34" s="4">
        <f t="shared" si="8"/>
        <v>2.237559376159259E-2</v>
      </c>
      <c r="AH34" s="4">
        <f t="shared" si="9"/>
        <v>1.2645318213491186E-2</v>
      </c>
      <c r="AI34" s="4">
        <f t="shared" si="10"/>
        <v>3.2874415674770889E-2</v>
      </c>
      <c r="AJ34" s="4">
        <f t="shared" si="11"/>
        <v>2.9857758727478329E-2</v>
      </c>
      <c r="AK34" s="4">
        <f t="shared" si="12"/>
        <v>1.4410714019836556E-2</v>
      </c>
      <c r="AM34" s="4">
        <f t="shared" si="13"/>
        <v>3.2715157357675967E-2</v>
      </c>
      <c r="AN34" s="4">
        <f t="shared" si="14"/>
        <v>5.979835491599636E-2</v>
      </c>
      <c r="AO34" s="4">
        <f t="shared" si="15"/>
        <v>7.6794211919289077E-2</v>
      </c>
      <c r="AP34" s="4">
        <f t="shared" si="16"/>
        <v>3.6786307781429148E-2</v>
      </c>
      <c r="AR34" s="4">
        <f t="shared" si="25"/>
        <v>2.3106110049276457E-4</v>
      </c>
      <c r="AS34" s="4">
        <f t="shared" si="17"/>
        <v>1.1437669662207307E-4</v>
      </c>
      <c r="AT34" s="4">
        <f t="shared" si="18"/>
        <v>1.0214398843138748E-3</v>
      </c>
      <c r="AV34" s="5">
        <f t="shared" si="19"/>
        <v>1.3668776814287124E-3</v>
      </c>
    </row>
    <row r="35" spans="1:48">
      <c r="A35" s="4">
        <v>3200</v>
      </c>
      <c r="B35" s="4">
        <v>2250</v>
      </c>
      <c r="C35" s="4">
        <v>0.155</v>
      </c>
      <c r="D35" s="4">
        <v>19.527142857142856</v>
      </c>
      <c r="E35" s="8">
        <v>1.6</v>
      </c>
      <c r="F35" s="4">
        <v>5.9639999999999995</v>
      </c>
      <c r="G35" s="8">
        <v>1.6</v>
      </c>
      <c r="H35" s="4">
        <v>18.629117315953188</v>
      </c>
      <c r="I35" s="8">
        <v>1.6</v>
      </c>
      <c r="K35" s="4">
        <v>92.943749682999993</v>
      </c>
      <c r="L35" s="4">
        <v>15</v>
      </c>
      <c r="M35" s="5">
        <v>7.056250317000007</v>
      </c>
      <c r="P35" s="7">
        <f t="shared" si="20"/>
        <v>6.8906185939253677E-4</v>
      </c>
      <c r="Q35" s="7">
        <f t="shared" si="21"/>
        <v>1.8304511315989105E-2</v>
      </c>
      <c r="R35" s="7">
        <f t="shared" si="22"/>
        <v>3.0615145097571406E-3</v>
      </c>
      <c r="S35" s="7">
        <f t="shared" si="23"/>
        <v>1.7964346813196435E-4</v>
      </c>
      <c r="T35" s="7">
        <f t="shared" si="24"/>
        <v>2.1293983201812892E-4</v>
      </c>
      <c r="V35" s="5">
        <f t="shared" si="0"/>
        <v>2.2447670985288878E-2</v>
      </c>
      <c r="X35" s="4">
        <f t="shared" si="1"/>
        <v>0.51778689792464161</v>
      </c>
      <c r="Y35" s="4">
        <f t="shared" si="2"/>
        <v>0.11914774288863217</v>
      </c>
      <c r="Z35" s="4">
        <f t="shared" si="3"/>
        <v>2.215798321653073E-2</v>
      </c>
      <c r="AA35" s="4">
        <f t="shared" si="4"/>
        <v>5.8068858312584348E-3</v>
      </c>
      <c r="AC35" s="4">
        <f t="shared" si="5"/>
        <v>2.1052876603424628E-2</v>
      </c>
      <c r="AD35" s="4">
        <f t="shared" si="6"/>
        <v>2.8248202819000263E-2</v>
      </c>
      <c r="AE35" s="4">
        <f t="shared" si="7"/>
        <v>4.9228987793287167E-2</v>
      </c>
      <c r="AF35" s="4">
        <f t="shared" si="8"/>
        <v>2.3485590660394459E-2</v>
      </c>
      <c r="AH35" s="4">
        <f t="shared" si="9"/>
        <v>1.3273525463226951E-2</v>
      </c>
      <c r="AI35" s="4">
        <f t="shared" si="10"/>
        <v>3.5484392295368469E-2</v>
      </c>
      <c r="AJ35" s="4">
        <f t="shared" si="11"/>
        <v>3.1327632807474706E-2</v>
      </c>
      <c r="AK35" s="4">
        <f t="shared" si="12"/>
        <v>1.5120363637905854E-2</v>
      </c>
      <c r="AM35" s="4">
        <f t="shared" si="13"/>
        <v>3.4326402066651579E-2</v>
      </c>
      <c r="AN35" s="4">
        <f t="shared" si="14"/>
        <v>6.373259511436874E-2</v>
      </c>
      <c r="AO35" s="4">
        <f t="shared" si="15"/>
        <v>8.055662060076188E-2</v>
      </c>
      <c r="AP35" s="4">
        <f t="shared" si="16"/>
        <v>3.8605954298300313E-2</v>
      </c>
      <c r="AR35" s="4">
        <f t="shared" si="25"/>
        <v>2.4244102361368138E-4</v>
      </c>
      <c r="AS35" s="4">
        <f t="shared" si="17"/>
        <v>1.1998039858832736E-4</v>
      </c>
      <c r="AT35" s="4">
        <f t="shared" si="18"/>
        <v>1.0822906365620386E-3</v>
      </c>
      <c r="AV35" s="5">
        <f t="shared" si="19"/>
        <v>1.4447120587640474E-3</v>
      </c>
    </row>
    <row r="36" spans="1:48">
      <c r="A36" s="4">
        <v>3300</v>
      </c>
      <c r="B36" s="4">
        <v>2320</v>
      </c>
      <c r="C36" s="4">
        <v>0.16</v>
      </c>
      <c r="D36" s="4">
        <v>19.944285714285716</v>
      </c>
      <c r="E36" s="8">
        <v>1.6</v>
      </c>
      <c r="F36" s="4">
        <v>6.1079999999999997</v>
      </c>
      <c r="G36" s="8">
        <v>1.6</v>
      </c>
      <c r="H36" s="4">
        <v>19.068310651496287</v>
      </c>
      <c r="I36" s="8">
        <v>1.6</v>
      </c>
      <c r="K36" s="4">
        <v>92.881260929999996</v>
      </c>
      <c r="L36" s="4">
        <v>15</v>
      </c>
      <c r="M36" s="5">
        <v>7.1187390700000037</v>
      </c>
      <c r="P36" s="7">
        <f t="shared" si="20"/>
        <v>6.9252521098096083E-4</v>
      </c>
      <c r="Q36" s="7">
        <f t="shared" si="21"/>
        <v>1.8608926831190413E-2</v>
      </c>
      <c r="R36" s="7">
        <f t="shared" si="22"/>
        <v>3.1419112341628361E-3</v>
      </c>
      <c r="S36" s="7">
        <f t="shared" si="23"/>
        <v>1.8571865244421226E-4</v>
      </c>
      <c r="T36" s="7">
        <f t="shared" si="24"/>
        <v>2.2017510594261441E-4</v>
      </c>
      <c r="V36" s="5">
        <f t="shared" ref="V36:V67" si="26">SUM(P36:T36)</f>
        <v>2.2849257034721036E-2</v>
      </c>
      <c r="X36" s="4">
        <f t="shared" ref="X36:X67" si="27">(1-LOGNORMDIST(5,LN(F37),LN(G36)))-(1-LOGNORMDIST(10,LN(F37),LN(G36)))</f>
        <v>0.52394704806060644</v>
      </c>
      <c r="Y36" s="4">
        <f t="shared" ref="Y36:Y67" si="28">(1-LOGNORMDIST(10,LN(F37),LN(G36)))-(1-LOGNORMDIST(15,LN(F37),LN(G36)))</f>
        <v>0.12751878781247594</v>
      </c>
      <c r="Z36" s="4">
        <f t="shared" ref="Z36:Z67" si="29">(1-LOGNORMDIST(15,LN(F37),LN(G36)))-(1-LOGNORMDIST(20,LN(F37),LN(G36)))</f>
        <v>2.4622421851094534E-2</v>
      </c>
      <c r="AA36" s="4">
        <f t="shared" ref="AA36:AA67" si="30">1-LOGNORMDIST(20,LN(F37),LN(G36))</f>
        <v>6.6788187323680859E-3</v>
      </c>
      <c r="AC36" s="4">
        <f t="shared" ref="AC36:AC67" si="31">((X36*0.021)+(Y36*0.063)+(Z36*0.107)+(AA36*0.13))/(((X36*0.021)+(Y36*0.063)+(Z36*0.107)+(AA36*0.13))+1)</f>
        <v>2.2042590080417802E-2</v>
      </c>
      <c r="AD36" s="4">
        <f t="shared" ref="AD36:AD67" si="32">((X36*0.028)+(Y36*0.086)+(Z36*0.148)+(AA36*0.18))/(((X36*0.028)+(Y36*0.086)+(Z36*0.148)+(AA36*0.18))+1)</f>
        <v>2.9581687344532846E-2</v>
      </c>
      <c r="AE36" s="4">
        <f t="shared" ref="AE36:AE67" si="33">((X36*0.049)+(Y36*0.155)+(Z36*0.271)+(AA36*0.333))/(((X36*0.049)+(Y36*0.155)+(Z36*0.271)+(AA36*0.333))+1)</f>
        <v>5.1535339881935566E-2</v>
      </c>
      <c r="AF36" s="4">
        <f t="shared" ref="AF36:AF67" si="34">((X36*0.023)+(Y36*0.072)+(Z36*0.122)+(AA36*0.148))/(((X36*0.023)+(Y36*0.072)+(Z36*0.122)+(AA36*0.148))+1)</f>
        <v>2.4603913185366696E-2</v>
      </c>
      <c r="AH36" s="4">
        <f t="shared" ref="AH36:AH67" si="35">((X36*0.013)+(Y36*0.04)+(Z36*0.067)+(AA36*0.081))/(((X36*0.013)+(Y36*0.04)+(Z36*0.067)+(AA36*0.081))+1)</f>
        <v>1.3906628024176986E-2</v>
      </c>
      <c r="AI36" s="4">
        <f t="shared" ref="AI36:AI67" si="36">((X36*0.018)+(Y36*0.054)+(Z36*0.92)+(AA36*0.112))/(((X36*0.018)+(Y36*0.054)+(Z36*0.92)+(AA36*0.112))+1)</f>
        <v>3.8200481294723608E-2</v>
      </c>
      <c r="AJ36" s="4">
        <f t="shared" ref="AJ36:AJ67" si="37">((X36*0.031)+(Y36*0.096)+(Z36*0.166)+(AA36*0.202))/(((X36*0.031)+(Y36*0.096)+(Z36*0.166)+(AA36*0.202))+1)</f>
        <v>3.2807746890461148E-2</v>
      </c>
      <c r="AK36" s="4">
        <f t="shared" ref="AK36:AK67" si="38">((X36*0.015)+(Y36*0.045)+(Z36*0.076)+(AA36*0.093))/(((X36*0.015)+(Y36*0.045)+(Z36*0.076)+(AA36*0.093))+1)</f>
        <v>1.5835197282572912E-2</v>
      </c>
      <c r="AM36" s="4">
        <f t="shared" ref="AM36:AM67" si="39">AC36+AH36</f>
        <v>3.5949218104594789E-2</v>
      </c>
      <c r="AN36" s="4">
        <f t="shared" ref="AN36:AN67" si="40">AD36+AI36</f>
        <v>6.7782168639256457E-2</v>
      </c>
      <c r="AO36" s="4">
        <f t="shared" ref="AO36:AO67" si="41">AE36+AJ36</f>
        <v>8.4343086772396714E-2</v>
      </c>
      <c r="AP36" s="4">
        <f t="shared" ref="AP36:AP67" si="42">AF36+AK36</f>
        <v>4.0439110467939604E-2</v>
      </c>
      <c r="AR36" s="4">
        <f t="shared" ref="AR36:AR67" si="43">(351021.9/49700000)*AM36</f>
        <v>2.5390267288911999E-4</v>
      </c>
      <c r="AS36" s="4">
        <f t="shared" ref="AS36:AS67" si="44">(74022.79/49700000)*AO36</f>
        <v>1.2561993159164786E-4</v>
      </c>
      <c r="AT36" s="4">
        <f t="shared" ref="AT36:AT67" si="45">((950651.56-74022.79-351021.9)/49700000)*(AN36+AP36)</f>
        <v>1.1445039794553261E-3</v>
      </c>
      <c r="AV36" s="5">
        <f t="shared" ref="AV36:AV67" si="46">AT36+AS36+AR36</f>
        <v>1.5240265839360939E-3</v>
      </c>
    </row>
    <row r="37" spans="1:48">
      <c r="A37" s="4">
        <v>3400</v>
      </c>
      <c r="B37" s="4">
        <v>2390</v>
      </c>
      <c r="C37" s="4">
        <v>0.16500000000000001</v>
      </c>
      <c r="D37" s="4">
        <v>20.354285714285712</v>
      </c>
      <c r="E37" s="8">
        <v>1.6</v>
      </c>
      <c r="F37" s="4">
        <v>6.2519999999999998</v>
      </c>
      <c r="G37" s="8">
        <v>1.6</v>
      </c>
      <c r="H37" s="4">
        <v>19.507503987039392</v>
      </c>
      <c r="I37" s="8">
        <v>1.6</v>
      </c>
      <c r="K37" s="4">
        <v>92.819934825999994</v>
      </c>
      <c r="L37" s="4">
        <v>15</v>
      </c>
      <c r="M37" s="5">
        <v>7.1800651740000063</v>
      </c>
      <c r="P37" s="7">
        <f t="shared" si="20"/>
        <v>6.9581849094310275E-4</v>
      </c>
      <c r="Q37" s="7">
        <f t="shared" si="21"/>
        <v>1.891025976044133E-2</v>
      </c>
      <c r="R37" s="7">
        <f t="shared" si="22"/>
        <v>3.2224856245773475E-3</v>
      </c>
      <c r="S37" s="7">
        <f t="shared" si="23"/>
        <v>1.9185897698357918E-4</v>
      </c>
      <c r="T37" s="7">
        <f t="shared" si="24"/>
        <v>2.274894616137158E-4</v>
      </c>
      <c r="V37" s="5">
        <f t="shared" si="26"/>
        <v>2.3247912314559079E-2</v>
      </c>
      <c r="X37" s="4">
        <f t="shared" si="27"/>
        <v>0.52899072381155132</v>
      </c>
      <c r="Y37" s="4">
        <f t="shared" si="28"/>
        <v>0.1359620787513719</v>
      </c>
      <c r="Z37" s="4">
        <f t="shared" si="29"/>
        <v>2.7232420298004323E-2</v>
      </c>
      <c r="AA37" s="4">
        <f t="shared" si="30"/>
        <v>7.6407158052261837E-3</v>
      </c>
      <c r="AC37" s="4">
        <f t="shared" si="31"/>
        <v>2.3038298744777665E-2</v>
      </c>
      <c r="AD37" s="4">
        <f t="shared" si="32"/>
        <v>3.0923432969373648E-2</v>
      </c>
      <c r="AE37" s="4">
        <f t="shared" si="33"/>
        <v>5.3853711868430305E-2</v>
      </c>
      <c r="AF37" s="4">
        <f t="shared" si="34"/>
        <v>2.572973485386992E-2</v>
      </c>
      <c r="AH37" s="4">
        <f t="shared" si="35"/>
        <v>1.454417761560977E-2</v>
      </c>
      <c r="AI37" s="4">
        <f t="shared" si="36"/>
        <v>4.1018857278973725E-2</v>
      </c>
      <c r="AJ37" s="4">
        <f t="shared" si="37"/>
        <v>3.4297017110216405E-2</v>
      </c>
      <c r="AK37" s="4">
        <f t="shared" si="38"/>
        <v>1.6554732399798603E-2</v>
      </c>
      <c r="AM37" s="4">
        <f t="shared" si="39"/>
        <v>3.7582476360387432E-2</v>
      </c>
      <c r="AN37" s="4">
        <f t="shared" si="40"/>
        <v>7.1942290248347376E-2</v>
      </c>
      <c r="AO37" s="4">
        <f t="shared" si="41"/>
        <v>8.8150728978646703E-2</v>
      </c>
      <c r="AP37" s="4">
        <f t="shared" si="42"/>
        <v>4.2284467253668523E-2</v>
      </c>
      <c r="AR37" s="4">
        <f t="shared" si="43"/>
        <v>2.6543807361626321E-4</v>
      </c>
      <c r="AS37" s="4">
        <f t="shared" si="44"/>
        <v>1.3129100401475409E-4</v>
      </c>
      <c r="AT37" s="4">
        <f t="shared" si="45"/>
        <v>1.208015462392024E-3</v>
      </c>
      <c r="AV37" s="5">
        <f t="shared" si="46"/>
        <v>1.6047445400230412E-3</v>
      </c>
    </row>
    <row r="38" spans="1:48">
      <c r="A38" s="4">
        <v>3500</v>
      </c>
      <c r="B38" s="4">
        <v>2460</v>
      </c>
      <c r="C38" s="4">
        <v>0.17</v>
      </c>
      <c r="D38" s="4">
        <v>20.758571428571429</v>
      </c>
      <c r="E38" s="8">
        <v>1.6</v>
      </c>
      <c r="F38" s="4">
        <v>6.3959999999999999</v>
      </c>
      <c r="G38" s="8">
        <v>1.6</v>
      </c>
      <c r="H38" s="4">
        <v>19.946697322582491</v>
      </c>
      <c r="I38" s="8">
        <v>1.6</v>
      </c>
      <c r="K38" s="4">
        <v>92.759728897000002</v>
      </c>
      <c r="L38" s="4">
        <v>15</v>
      </c>
      <c r="M38" s="5">
        <v>7.2402711029999978</v>
      </c>
      <c r="P38" s="7">
        <f t="shared" si="20"/>
        <v>6.98948428521786E-4</v>
      </c>
      <c r="Q38" s="7">
        <f t="shared" si="21"/>
        <v>1.9208565558049128E-2</v>
      </c>
      <c r="R38" s="7">
        <f t="shared" si="22"/>
        <v>3.3032274510156547E-3</v>
      </c>
      <c r="S38" s="7">
        <f t="shared" si="23"/>
        <v>1.9806337626173407E-4</v>
      </c>
      <c r="T38" s="7">
        <f t="shared" si="24"/>
        <v>2.3488164542243126E-4</v>
      </c>
      <c r="V38" s="5">
        <f t="shared" si="26"/>
        <v>2.3643686459270733E-2</v>
      </c>
      <c r="X38" s="4">
        <f t="shared" si="27"/>
        <v>0.53296139207983617</v>
      </c>
      <c r="Y38" s="4">
        <f t="shared" si="28"/>
        <v>0.14444802626622877</v>
      </c>
      <c r="Z38" s="4">
        <f t="shared" si="29"/>
        <v>2.9985402797080396E-2</v>
      </c>
      <c r="AA38" s="4">
        <f t="shared" si="30"/>
        <v>8.6970634301957173E-3</v>
      </c>
      <c r="AC38" s="4">
        <f t="shared" si="31"/>
        <v>2.4039346755576025E-2</v>
      </c>
      <c r="AD38" s="4">
        <f t="shared" si="32"/>
        <v>3.2272512002499462E-2</v>
      </c>
      <c r="AE38" s="4">
        <f t="shared" si="33"/>
        <v>5.6182366636445616E-2</v>
      </c>
      <c r="AF38" s="4">
        <f t="shared" si="34"/>
        <v>2.686225533792087E-2</v>
      </c>
      <c r="AH38" s="4">
        <f t="shared" si="35"/>
        <v>1.5185740621426946E-2</v>
      </c>
      <c r="AI38" s="4">
        <f t="shared" si="36"/>
        <v>4.3935138634829271E-2</v>
      </c>
      <c r="AJ38" s="4">
        <f t="shared" si="37"/>
        <v>3.5794394964828342E-2</v>
      </c>
      <c r="AK38" s="4">
        <f t="shared" si="38"/>
        <v>1.727850374570351E-2</v>
      </c>
      <c r="AM38" s="4">
        <f t="shared" si="39"/>
        <v>3.9225087377002969E-2</v>
      </c>
      <c r="AN38" s="4">
        <f t="shared" si="40"/>
        <v>7.6207650637328733E-2</v>
      </c>
      <c r="AO38" s="4">
        <f t="shared" si="41"/>
        <v>9.1976761601273965E-2</v>
      </c>
      <c r="AP38" s="4">
        <f t="shared" si="42"/>
        <v>4.414075908362438E-2</v>
      </c>
      <c r="AR38" s="4">
        <f t="shared" si="43"/>
        <v>2.7703953116180283E-4</v>
      </c>
      <c r="AS38" s="4">
        <f t="shared" si="44"/>
        <v>1.3698946697970153E-4</v>
      </c>
      <c r="AT38" s="4">
        <f t="shared" si="45"/>
        <v>1.2727555521711818E-3</v>
      </c>
      <c r="AV38" s="5">
        <f t="shared" si="46"/>
        <v>1.6867845503126862E-3</v>
      </c>
    </row>
    <row r="39" spans="1:48">
      <c r="A39" s="4">
        <v>3600</v>
      </c>
      <c r="B39" s="4">
        <v>2530</v>
      </c>
      <c r="C39" s="4">
        <v>0.17499999999999999</v>
      </c>
      <c r="D39" s="4">
        <v>21.155714285714286</v>
      </c>
      <c r="E39" s="8">
        <v>1.6</v>
      </c>
      <c r="F39" s="4">
        <v>6.54</v>
      </c>
      <c r="G39" s="8">
        <v>1.6</v>
      </c>
      <c r="H39" s="4">
        <v>20.385890658125593</v>
      </c>
      <c r="I39" s="8">
        <v>1.6</v>
      </c>
      <c r="K39" s="4">
        <v>92.700602953000001</v>
      </c>
      <c r="L39" s="4">
        <v>15</v>
      </c>
      <c r="M39" s="5">
        <v>7.2993970469999994</v>
      </c>
      <c r="P39" s="7">
        <f t="shared" si="20"/>
        <v>7.0192140978053534E-4</v>
      </c>
      <c r="Q39" s="7">
        <f t="shared" si="21"/>
        <v>1.9503898309108116E-2</v>
      </c>
      <c r="R39" s="7">
        <f t="shared" si="22"/>
        <v>3.3841269615172121E-3</v>
      </c>
      <c r="S39" s="7">
        <f t="shared" si="23"/>
        <v>2.04330813922875E-4</v>
      </c>
      <c r="T39" s="7">
        <f t="shared" si="24"/>
        <v>2.4235043767837318E-4</v>
      </c>
      <c r="V39" s="5">
        <f t="shared" si="26"/>
        <v>2.4036627932007108E-2</v>
      </c>
      <c r="X39" s="4">
        <f t="shared" si="27"/>
        <v>0.53590547193360483</v>
      </c>
      <c r="Y39" s="4">
        <f t="shared" si="28"/>
        <v>0.15294786020167828</v>
      </c>
      <c r="Z39" s="4">
        <f t="shared" si="29"/>
        <v>3.2878090330092702E-2</v>
      </c>
      <c r="AA39" s="4">
        <f t="shared" si="30"/>
        <v>9.8521814008475372E-3</v>
      </c>
      <c r="AC39" s="4">
        <f t="shared" si="31"/>
        <v>2.5045099090372221E-2</v>
      </c>
      <c r="AD39" s="4">
        <f t="shared" si="32"/>
        <v>3.3628023866308837E-2</v>
      </c>
      <c r="AE39" s="4">
        <f t="shared" si="33"/>
        <v>5.8519619848048064E-2</v>
      </c>
      <c r="AF39" s="4">
        <f t="shared" si="34"/>
        <v>2.8000696583500982E-2</v>
      </c>
      <c r="AH39" s="4">
        <f t="shared" si="35"/>
        <v>1.5830895714639817E-2</v>
      </c>
      <c r="AI39" s="4">
        <f t="shared" si="36"/>
        <v>4.6944438918493821E-2</v>
      </c>
      <c r="AJ39" s="4">
        <f t="shared" si="37"/>
        <v>3.729886193935867E-2</v>
      </c>
      <c r="AK39" s="4">
        <f t="shared" si="38"/>
        <v>1.800606037562141E-2</v>
      </c>
      <c r="AM39" s="4">
        <f t="shared" si="39"/>
        <v>4.0875994805012042E-2</v>
      </c>
      <c r="AN39" s="4">
        <f t="shared" si="40"/>
        <v>8.0572462784802651E-2</v>
      </c>
      <c r="AO39" s="4">
        <f t="shared" si="41"/>
        <v>9.5818481787406734E-2</v>
      </c>
      <c r="AP39" s="4">
        <f t="shared" si="42"/>
        <v>4.6006756959122388E-2</v>
      </c>
      <c r="AR39" s="4">
        <f t="shared" si="43"/>
        <v>2.8869958472526073E-4</v>
      </c>
      <c r="AS39" s="4">
        <f t="shared" si="44"/>
        <v>1.4271129487863243E-4</v>
      </c>
      <c r="AT39" s="4">
        <f t="shared" si="45"/>
        <v>1.3386500502343389E-3</v>
      </c>
      <c r="AV39" s="5">
        <f t="shared" si="46"/>
        <v>1.770060929838232E-3</v>
      </c>
    </row>
    <row r="40" spans="1:48">
      <c r="A40" s="4">
        <v>3700</v>
      </c>
      <c r="B40" s="4">
        <v>2600</v>
      </c>
      <c r="C40" s="4">
        <v>0.18</v>
      </c>
      <c r="D40" s="4">
        <v>21.547142857142855</v>
      </c>
      <c r="E40" s="8">
        <v>1.6</v>
      </c>
      <c r="F40" s="4">
        <v>6.6840000000000002</v>
      </c>
      <c r="G40" s="8">
        <v>1.6</v>
      </c>
      <c r="H40" s="4">
        <v>20.825083993668692</v>
      </c>
      <c r="I40" s="8">
        <v>1.6</v>
      </c>
      <c r="K40" s="4">
        <v>92.642518930999998</v>
      </c>
      <c r="L40" s="4">
        <v>15</v>
      </c>
      <c r="M40" s="5">
        <v>7.3574810690000021</v>
      </c>
      <c r="P40" s="7">
        <f t="shared" si="20"/>
        <v>7.0474349946219054E-4</v>
      </c>
      <c r="Q40" s="7">
        <f t="shared" si="21"/>
        <v>1.9796310742213562E-2</v>
      </c>
      <c r="R40" s="7">
        <f t="shared" si="22"/>
        <v>3.4651748490567838E-3</v>
      </c>
      <c r="S40" s="7">
        <f t="shared" si="23"/>
        <v>2.1066028114843761E-4</v>
      </c>
      <c r="T40" s="7">
        <f t="shared" si="24"/>
        <v>2.4989465074865816E-4</v>
      </c>
      <c r="V40" s="5">
        <f t="shared" si="26"/>
        <v>2.4426784022629634E-2</v>
      </c>
      <c r="X40" s="4">
        <f t="shared" si="27"/>
        <v>0.53787155861976044</v>
      </c>
      <c r="Y40" s="4">
        <f t="shared" si="28"/>
        <v>0.16143380297215071</v>
      </c>
      <c r="Z40" s="4">
        <f t="shared" si="29"/>
        <v>3.5906545686371083E-2</v>
      </c>
      <c r="AA40" s="4">
        <f t="shared" si="30"/>
        <v>1.1110201580473489E-2</v>
      </c>
      <c r="AC40" s="4">
        <f t="shared" si="31"/>
        <v>2.605493827399875E-2</v>
      </c>
      <c r="AD40" s="4">
        <f t="shared" si="32"/>
        <v>3.4989091219483542E-2</v>
      </c>
      <c r="AE40" s="4">
        <f t="shared" si="33"/>
        <v>6.0863834190048323E-2</v>
      </c>
      <c r="AF40" s="4">
        <f t="shared" si="34"/>
        <v>2.9144299851489364E-2</v>
      </c>
      <c r="AH40" s="4">
        <f t="shared" si="35"/>
        <v>1.6479232014798138E-2</v>
      </c>
      <c r="AI40" s="4">
        <f t="shared" si="36"/>
        <v>5.004142211059915E-2</v>
      </c>
      <c r="AJ40" s="4">
        <f t="shared" si="37"/>
        <v>3.880942540627505E-2</v>
      </c>
      <c r="AK40" s="4">
        <f t="shared" si="38"/>
        <v>1.8736963276321471E-2</v>
      </c>
      <c r="AM40" s="4">
        <f t="shared" si="39"/>
        <v>4.2534170288796885E-2</v>
      </c>
      <c r="AN40" s="4">
        <f t="shared" si="40"/>
        <v>8.5030513330082685E-2</v>
      </c>
      <c r="AO40" s="4">
        <f t="shared" si="41"/>
        <v>9.9673259596323366E-2</v>
      </c>
      <c r="AP40" s="4">
        <f t="shared" si="42"/>
        <v>4.7881263127810839E-2</v>
      </c>
      <c r="AR40" s="4">
        <f t="shared" si="43"/>
        <v>3.0041097122126826E-4</v>
      </c>
      <c r="AS40" s="4">
        <f t="shared" si="44"/>
        <v>1.484525706984734E-4</v>
      </c>
      <c r="AT40" s="4">
        <f t="shared" si="45"/>
        <v>1.4056205796815515E-3</v>
      </c>
      <c r="AV40" s="5">
        <f t="shared" si="46"/>
        <v>1.854484121601293E-3</v>
      </c>
    </row>
    <row r="41" spans="1:48">
      <c r="A41" s="4">
        <v>3800</v>
      </c>
      <c r="B41" s="4">
        <v>2670</v>
      </c>
      <c r="C41" s="4">
        <v>0.185</v>
      </c>
      <c r="D41" s="4">
        <v>21.932857142857141</v>
      </c>
      <c r="E41" s="8">
        <v>1.6</v>
      </c>
      <c r="F41" s="4">
        <v>6.8279999999999994</v>
      </c>
      <c r="G41" s="8">
        <v>1.6</v>
      </c>
      <c r="H41" s="4">
        <v>21.264277329211794</v>
      </c>
      <c r="I41" s="8">
        <v>1.6</v>
      </c>
      <c r="K41" s="4">
        <v>92.585440743000007</v>
      </c>
      <c r="L41" s="4">
        <v>15</v>
      </c>
      <c r="M41" s="5">
        <v>7.4145592569999934</v>
      </c>
      <c r="P41" s="7">
        <f t="shared" si="20"/>
        <v>7.0742046158168038E-4</v>
      </c>
      <c r="Q41" s="7">
        <f t="shared" si="21"/>
        <v>2.0085854287263234E-2</v>
      </c>
      <c r="R41" s="7">
        <f t="shared" si="22"/>
        <v>3.5463622326052141E-3</v>
      </c>
      <c r="S41" s="7">
        <f t="shared" si="23"/>
        <v>2.170507960667284E-4</v>
      </c>
      <c r="T41" s="7">
        <f t="shared" si="24"/>
        <v>2.5751312839185142E-4</v>
      </c>
      <c r="V41" s="5">
        <f t="shared" si="26"/>
        <v>2.4814200905908707E-2</v>
      </c>
      <c r="X41" s="4">
        <f t="shared" si="27"/>
        <v>0.53890973839044243</v>
      </c>
      <c r="Y41" s="4">
        <f t="shared" si="28"/>
        <v>0.16987921517486815</v>
      </c>
      <c r="Z41" s="4">
        <f t="shared" si="29"/>
        <v>3.906622178226582E-2</v>
      </c>
      <c r="AA41" s="4">
        <f t="shared" si="30"/>
        <v>1.247504871726568E-2</v>
      </c>
      <c r="AC41" s="4">
        <f t="shared" si="31"/>
        <v>2.7068261886791282E-2</v>
      </c>
      <c r="AD41" s="4">
        <f t="shared" si="32"/>
        <v>3.6354857082643702E-2</v>
      </c>
      <c r="AE41" s="4">
        <f t="shared" si="33"/>
        <v>6.321341526201614E-2</v>
      </c>
      <c r="AF41" s="4">
        <f t="shared" si="34"/>
        <v>3.0292323548449514E-2</v>
      </c>
      <c r="AH41" s="4">
        <f t="shared" si="35"/>
        <v>1.7130347705818658E-2</v>
      </c>
      <c r="AI41" s="4">
        <f t="shared" si="36"/>
        <v>5.3220360441674726E-2</v>
      </c>
      <c r="AJ41" s="4">
        <f t="shared" si="37"/>
        <v>4.0325115620428828E-2</v>
      </c>
      <c r="AK41" s="4">
        <f t="shared" si="38"/>
        <v>1.9470783556833137E-2</v>
      </c>
      <c r="AM41" s="4">
        <f t="shared" si="39"/>
        <v>4.419860959260994E-2</v>
      </c>
      <c r="AN41" s="4">
        <f t="shared" si="40"/>
        <v>8.9575217524318435E-2</v>
      </c>
      <c r="AO41" s="4">
        <f t="shared" si="41"/>
        <v>0.10353853088244497</v>
      </c>
      <c r="AP41" s="4">
        <f t="shared" si="42"/>
        <v>4.9763107105282652E-2</v>
      </c>
      <c r="AR41" s="4">
        <f t="shared" si="43"/>
        <v>3.1216659791863518E-4</v>
      </c>
      <c r="AS41" s="4">
        <f t="shared" si="44"/>
        <v>1.5420947542092026E-4</v>
      </c>
      <c r="AT41" s="4">
        <f t="shared" si="45"/>
        <v>1.4735851243381998E-3</v>
      </c>
      <c r="AV41" s="5">
        <f t="shared" si="46"/>
        <v>1.9399611976777553E-3</v>
      </c>
    </row>
    <row r="42" spans="1:48">
      <c r="A42" s="4">
        <v>3900</v>
      </c>
      <c r="B42" s="4">
        <v>2740</v>
      </c>
      <c r="C42" s="4">
        <v>0.19</v>
      </c>
      <c r="D42" s="4">
        <v>22.314285714285713</v>
      </c>
      <c r="E42" s="8">
        <v>1.6</v>
      </c>
      <c r="F42" s="4">
        <v>6.9719999999999995</v>
      </c>
      <c r="G42" s="8">
        <v>1.6</v>
      </c>
      <c r="H42" s="4">
        <v>21.703470664754889</v>
      </c>
      <c r="I42" s="8">
        <v>1.6</v>
      </c>
      <c r="K42" s="4">
        <v>92.543271515000001</v>
      </c>
      <c r="L42" s="4">
        <v>15</v>
      </c>
      <c r="M42" s="5">
        <v>7.4567284849999993</v>
      </c>
      <c r="P42" s="7">
        <f t="shared" si="20"/>
        <v>7.0933625101284134E-4</v>
      </c>
      <c r="Q42" s="7">
        <f t="shared" si="21"/>
        <v>2.030115945134018E-2</v>
      </c>
      <c r="R42" s="7">
        <f t="shared" si="22"/>
        <v>3.6073391965015743E-3</v>
      </c>
      <c r="S42" s="7">
        <f t="shared" si="23"/>
        <v>2.2188316854938777E-4</v>
      </c>
      <c r="T42" s="7">
        <f t="shared" si="24"/>
        <v>2.6327504397473481E-4</v>
      </c>
      <c r="V42" s="5">
        <f t="shared" si="26"/>
        <v>2.5102993111378716E-2</v>
      </c>
      <c r="X42" s="4">
        <f t="shared" si="27"/>
        <v>0.53907098829029687</v>
      </c>
      <c r="Y42" s="4">
        <f t="shared" si="28"/>
        <v>0.17825871513916036</v>
      </c>
      <c r="Z42" s="4">
        <f t="shared" si="29"/>
        <v>4.2352012355779456E-2</v>
      </c>
      <c r="AA42" s="4">
        <f t="shared" si="30"/>
        <v>1.3950423455014516E-2</v>
      </c>
      <c r="AC42" s="4">
        <f t="shared" si="31"/>
        <v>2.80844807378096E-2</v>
      </c>
      <c r="AD42" s="4">
        <f t="shared" si="32"/>
        <v>3.7724482811747735E-2</v>
      </c>
      <c r="AE42" s="4">
        <f t="shared" si="33"/>
        <v>6.5566808826794151E-2</v>
      </c>
      <c r="AF42" s="4">
        <f t="shared" si="34"/>
        <v>3.1444041722961072E-2</v>
      </c>
      <c r="AH42" s="4">
        <f t="shared" si="35"/>
        <v>1.7783849045302259E-2</v>
      </c>
      <c r="AI42" s="4">
        <f t="shared" si="36"/>
        <v>5.6475193585665273E-2</v>
      </c>
      <c r="AJ42" s="4">
        <f t="shared" si="37"/>
        <v>4.1844983635876777E-2</v>
      </c>
      <c r="AK42" s="4">
        <f t="shared" si="38"/>
        <v>2.0207101117216106E-2</v>
      </c>
      <c r="AM42" s="4">
        <f t="shared" si="39"/>
        <v>4.5868329783111859E-2</v>
      </c>
      <c r="AN42" s="4">
        <f t="shared" si="40"/>
        <v>9.4199676397413001E-2</v>
      </c>
      <c r="AO42" s="4">
        <f t="shared" si="41"/>
        <v>0.10741179246267094</v>
      </c>
      <c r="AP42" s="4">
        <f t="shared" si="42"/>
        <v>5.1651142840177175E-2</v>
      </c>
      <c r="AR42" s="4">
        <f t="shared" si="43"/>
        <v>3.2395952254113712E-4</v>
      </c>
      <c r="AS42" s="4">
        <f t="shared" si="44"/>
        <v>1.5997828082470569E-4</v>
      </c>
      <c r="AT42" s="4">
        <f t="shared" si="45"/>
        <v>1.5424586033482004E-3</v>
      </c>
      <c r="AV42" s="5">
        <f t="shared" si="46"/>
        <v>2.0263964067140433E-3</v>
      </c>
    </row>
    <row r="43" spans="1:48">
      <c r="A43" s="4">
        <v>4000</v>
      </c>
      <c r="B43" s="4">
        <v>2810</v>
      </c>
      <c r="C43" s="4">
        <v>0.19500000000000001</v>
      </c>
      <c r="D43" s="4">
        <v>22.685714285714287</v>
      </c>
      <c r="E43" s="8">
        <v>1.6</v>
      </c>
      <c r="F43" s="4">
        <v>7.1159999999999988</v>
      </c>
      <c r="G43" s="8">
        <v>1.6</v>
      </c>
      <c r="H43" s="4">
        <v>22.142664000297998</v>
      </c>
      <c r="I43" s="8">
        <v>1.6</v>
      </c>
      <c r="K43" s="4">
        <v>92.487872178000003</v>
      </c>
      <c r="L43" s="4">
        <v>15</v>
      </c>
      <c r="M43" s="5">
        <v>7.5121278219999965</v>
      </c>
      <c r="P43" s="7">
        <f t="shared" si="20"/>
        <v>7.1177227075037899E-4</v>
      </c>
      <c r="Q43" s="7">
        <f t="shared" si="21"/>
        <v>2.0585802346461287E-2</v>
      </c>
      <c r="R43" s="7">
        <f t="shared" si="22"/>
        <v>3.6887505077664333E-3</v>
      </c>
      <c r="S43" s="7">
        <f t="shared" si="23"/>
        <v>2.2837823027130718E-4</v>
      </c>
      <c r="T43" s="7">
        <f t="shared" si="24"/>
        <v>2.7102079090348389E-4</v>
      </c>
      <c r="V43" s="5">
        <f t="shared" si="26"/>
        <v>2.5485724146152893E-2</v>
      </c>
      <c r="X43" s="4">
        <f t="shared" si="27"/>
        <v>0.53840665466570403</v>
      </c>
      <c r="Y43" s="4">
        <f t="shared" si="28"/>
        <v>0.18654827419912667</v>
      </c>
      <c r="Z43" s="4">
        <f t="shared" si="29"/>
        <v>4.5758304231450886E-2</v>
      </c>
      <c r="AA43" s="4">
        <f t="shared" si="30"/>
        <v>1.5539787545650663E-2</v>
      </c>
      <c r="AC43" s="4">
        <f t="shared" si="31"/>
        <v>2.9103017596655931E-2</v>
      </c>
      <c r="AD43" s="4">
        <f t="shared" si="32"/>
        <v>3.9097146775988731E-2</v>
      </c>
      <c r="AE43" s="4">
        <f t="shared" si="33"/>
        <v>6.792249916878243E-2</v>
      </c>
      <c r="AF43" s="4">
        <f t="shared" si="34"/>
        <v>3.2598743112849493E-2</v>
      </c>
      <c r="AH43" s="4">
        <f t="shared" si="35"/>
        <v>1.8439349701381925E-2</v>
      </c>
      <c r="AI43" s="4">
        <f t="shared" si="36"/>
        <v>5.9799588128280304E-2</v>
      </c>
      <c r="AJ43" s="4">
        <f t="shared" si="37"/>
        <v>4.3368099985370653E-2</v>
      </c>
      <c r="AK43" s="4">
        <f t="shared" si="38"/>
        <v>2.0945503720119323E-2</v>
      </c>
      <c r="AM43" s="4">
        <f t="shared" si="39"/>
        <v>4.754236729803786E-2</v>
      </c>
      <c r="AN43" s="4">
        <f t="shared" si="40"/>
        <v>9.8896734904269035E-2</v>
      </c>
      <c r="AO43" s="4">
        <f t="shared" si="41"/>
        <v>0.11129059915415308</v>
      </c>
      <c r="AP43" s="4">
        <f t="shared" si="42"/>
        <v>5.3544246832968816E-2</v>
      </c>
      <c r="AR43" s="4">
        <f t="shared" si="43"/>
        <v>3.3578293962686353E-4</v>
      </c>
      <c r="AS43" s="4">
        <f t="shared" si="44"/>
        <v>1.657553450736831E-4</v>
      </c>
      <c r="AT43" s="4">
        <f t="shared" si="45"/>
        <v>1.6121534662099949E-3</v>
      </c>
      <c r="AV43" s="5">
        <f t="shared" si="46"/>
        <v>2.1136917509105417E-3</v>
      </c>
    </row>
    <row r="44" spans="1:48">
      <c r="A44" s="4">
        <v>4100</v>
      </c>
      <c r="B44" s="4">
        <v>2880</v>
      </c>
      <c r="C44" s="4">
        <v>0.2</v>
      </c>
      <c r="D44" s="4">
        <v>23.058571428571423</v>
      </c>
      <c r="E44" s="8">
        <v>1.6</v>
      </c>
      <c r="F44" s="4">
        <v>7.2600000000000007</v>
      </c>
      <c r="G44" s="8">
        <v>1.6</v>
      </c>
      <c r="H44" s="4">
        <v>22.581857335841097</v>
      </c>
      <c r="I44" s="8">
        <v>1.6</v>
      </c>
      <c r="K44" s="4">
        <v>92.433388574000006</v>
      </c>
      <c r="L44" s="4">
        <v>15</v>
      </c>
      <c r="M44" s="5">
        <v>7.5666114259999944</v>
      </c>
      <c r="P44" s="7">
        <f t="shared" si="20"/>
        <v>7.1407761088167654E-4</v>
      </c>
      <c r="Q44" s="7">
        <f t="shared" si="21"/>
        <v>2.0867711280327259E-2</v>
      </c>
      <c r="R44" s="7">
        <f t="shared" si="22"/>
        <v>3.770278876969361E-3</v>
      </c>
      <c r="S44" s="7">
        <f t="shared" si="23"/>
        <v>2.3493176830578804E-4</v>
      </c>
      <c r="T44" s="7">
        <f t="shared" si="24"/>
        <v>2.78837772754239E-4</v>
      </c>
      <c r="V44" s="5">
        <f t="shared" si="26"/>
        <v>2.5865837309238322E-2</v>
      </c>
      <c r="X44" s="4">
        <f t="shared" si="27"/>
        <v>0.53696800400343137</v>
      </c>
      <c r="Y44" s="4">
        <f t="shared" si="28"/>
        <v>0.19472528958600865</v>
      </c>
      <c r="Z44" s="4">
        <f t="shared" si="29"/>
        <v>4.9279030427339277E-2</v>
      </c>
      <c r="AA44" s="4">
        <f t="shared" si="30"/>
        <v>1.7246351243229929E-2</v>
      </c>
      <c r="AC44" s="4">
        <f t="shared" si="31"/>
        <v>3.0123306386837408E-2</v>
      </c>
      <c r="AD44" s="4">
        <f t="shared" si="32"/>
        <v>4.0472043610289103E-2</v>
      </c>
      <c r="AE44" s="4">
        <f t="shared" si="33"/>
        <v>7.0279008331862292E-2</v>
      </c>
      <c r="AF44" s="4">
        <f t="shared" si="34"/>
        <v>3.3755730639542937E-2</v>
      </c>
      <c r="AH44" s="4">
        <f t="shared" si="35"/>
        <v>1.9096470358853323E-2</v>
      </c>
      <c r="AI44" s="4">
        <f t="shared" si="36"/>
        <v>6.3186996337245643E-2</v>
      </c>
      <c r="AJ44" s="4">
        <f t="shared" si="37"/>
        <v>4.4893553978512815E-2</v>
      </c>
      <c r="AK44" s="4">
        <f t="shared" si="38"/>
        <v>2.1685586396413287E-2</v>
      </c>
      <c r="AM44" s="4">
        <f t="shared" si="39"/>
        <v>4.9219776745690731E-2</v>
      </c>
      <c r="AN44" s="4">
        <f t="shared" si="40"/>
        <v>0.10365903994753475</v>
      </c>
      <c r="AO44" s="4">
        <f t="shared" si="41"/>
        <v>0.11517256231037511</v>
      </c>
      <c r="AP44" s="4">
        <f t="shared" si="42"/>
        <v>5.5441317035956228E-2</v>
      </c>
      <c r="AR44" s="4">
        <f t="shared" si="43"/>
        <v>3.4763017204925915E-4</v>
      </c>
      <c r="AS44" s="4">
        <f t="shared" si="44"/>
        <v>1.7153711053647505E-4</v>
      </c>
      <c r="AT44" s="4">
        <f t="shared" si="45"/>
        <v>1.6825802947681152E-3</v>
      </c>
      <c r="AV44" s="5">
        <f t="shared" si="46"/>
        <v>2.2017475773538492E-3</v>
      </c>
    </row>
    <row r="45" spans="1:48">
      <c r="A45" s="4">
        <v>4200</v>
      </c>
      <c r="B45" s="4">
        <v>2950</v>
      </c>
      <c r="C45" s="4">
        <v>0.20499999999999999</v>
      </c>
      <c r="D45" s="4">
        <v>23.42285714285714</v>
      </c>
      <c r="E45" s="8">
        <v>1.6</v>
      </c>
      <c r="F45" s="4">
        <v>7.4039999999999999</v>
      </c>
      <c r="G45" s="8">
        <v>1.6</v>
      </c>
      <c r="H45" s="4">
        <v>23.021050671384199</v>
      </c>
      <c r="I45" s="8">
        <v>1.6</v>
      </c>
      <c r="K45" s="4">
        <v>92.393108850999994</v>
      </c>
      <c r="L45" s="4">
        <v>15</v>
      </c>
      <c r="M45" s="5">
        <v>7.6068911490000062</v>
      </c>
      <c r="P45" s="7">
        <f t="shared" si="20"/>
        <v>7.1572374862652983E-4</v>
      </c>
      <c r="Q45" s="7">
        <f t="shared" si="21"/>
        <v>2.1077377016189881E-2</v>
      </c>
      <c r="R45" s="7">
        <f t="shared" si="22"/>
        <v>3.8314974498875839E-3</v>
      </c>
      <c r="S45" s="7">
        <f t="shared" si="23"/>
        <v>2.3988476008776283E-4</v>
      </c>
      <c r="T45" s="7">
        <f t="shared" si="24"/>
        <v>2.8474662423482881E-4</v>
      </c>
      <c r="V45" s="5">
        <f t="shared" si="26"/>
        <v>2.6149229599026588E-2</v>
      </c>
      <c r="X45" s="4">
        <f t="shared" si="27"/>
        <v>0.53480583972845464</v>
      </c>
      <c r="Y45" s="4">
        <f t="shared" si="28"/>
        <v>0.20276863688954327</v>
      </c>
      <c r="Z45" s="4">
        <f t="shared" si="29"/>
        <v>5.290772345359851E-2</v>
      </c>
      <c r="AA45" s="4">
        <f t="shared" si="30"/>
        <v>1.9073062835930021E-2</v>
      </c>
      <c r="AC45" s="4">
        <f t="shared" si="31"/>
        <v>3.1144791753552371E-2</v>
      </c>
      <c r="AD45" s="4">
        <f t="shared" si="32"/>
        <v>4.1848383926490755E-2</v>
      </c>
      <c r="AE45" s="4">
        <f t="shared" si="33"/>
        <v>7.263489603602101E-2</v>
      </c>
      <c r="AF45" s="4">
        <f t="shared" si="34"/>
        <v>3.4914321257148488E-2</v>
      </c>
      <c r="AH45" s="4">
        <f t="shared" si="35"/>
        <v>1.9754838542391764E-2</v>
      </c>
      <c r="AI45" s="4">
        <f t="shared" si="36"/>
        <v>6.6630713388097729E-2</v>
      </c>
      <c r="AJ45" s="4">
        <f t="shared" si="37"/>
        <v>4.6420453490402053E-2</v>
      </c>
      <c r="AK45" s="4">
        <f t="shared" si="38"/>
        <v>2.2426951123070422E-2</v>
      </c>
      <c r="AM45" s="4">
        <f t="shared" si="39"/>
        <v>5.0899630295944132E-2</v>
      </c>
      <c r="AN45" s="4">
        <f t="shared" si="40"/>
        <v>0.10847909731458849</v>
      </c>
      <c r="AO45" s="4">
        <f t="shared" si="41"/>
        <v>0.11905534952642306</v>
      </c>
      <c r="AP45" s="4">
        <f t="shared" si="42"/>
        <v>5.7341272380218911E-2</v>
      </c>
      <c r="AR45" s="4">
        <f t="shared" si="43"/>
        <v>3.5949466671589281E-4</v>
      </c>
      <c r="AS45" s="4">
        <f t="shared" si="44"/>
        <v>1.7732010334750529E-4</v>
      </c>
      <c r="AT45" s="4">
        <f t="shared" si="45"/>
        <v>1.7536484003527278E-3</v>
      </c>
      <c r="AV45" s="5">
        <f t="shared" si="46"/>
        <v>2.290463170416126E-3</v>
      </c>
    </row>
    <row r="46" spans="1:48">
      <c r="A46" s="4">
        <v>4300</v>
      </c>
      <c r="B46" s="4">
        <v>3020</v>
      </c>
      <c r="C46" s="4">
        <v>0.21</v>
      </c>
      <c r="D46" s="4">
        <v>23.78142857142857</v>
      </c>
      <c r="E46" s="8">
        <v>1.6</v>
      </c>
      <c r="F46" s="4">
        <v>7.548</v>
      </c>
      <c r="G46" s="8">
        <v>1.6</v>
      </c>
      <c r="H46" s="4">
        <v>23.460244006927297</v>
      </c>
      <c r="I46" s="8">
        <v>1.6</v>
      </c>
      <c r="K46" s="4">
        <v>92.340156981000007</v>
      </c>
      <c r="L46" s="4">
        <v>15</v>
      </c>
      <c r="M46" s="5">
        <v>7.6598430189999931</v>
      </c>
      <c r="P46" s="7">
        <f t="shared" si="20"/>
        <v>7.1781179516248257E-4</v>
      </c>
      <c r="Q46" s="7">
        <f t="shared" si="21"/>
        <v>2.135461344775828E-2</v>
      </c>
      <c r="R46" s="7">
        <f t="shared" si="22"/>
        <v>3.9132128242491786E-3</v>
      </c>
      <c r="S46" s="7">
        <f t="shared" si="23"/>
        <v>2.4653850130139241E-4</v>
      </c>
      <c r="T46" s="7">
        <f t="shared" si="24"/>
        <v>2.9268575564076111E-4</v>
      </c>
      <c r="V46" s="5">
        <f t="shared" si="26"/>
        <v>2.6524862324112098E-2</v>
      </c>
      <c r="X46" s="4">
        <f t="shared" si="27"/>
        <v>0.53197017874311503</v>
      </c>
      <c r="Y46" s="4">
        <f t="shared" si="28"/>
        <v>0.21065870404460174</v>
      </c>
      <c r="Z46" s="4">
        <f t="shared" si="29"/>
        <v>5.6637568228920188E-2</v>
      </c>
      <c r="AA46" s="4">
        <f t="shared" si="30"/>
        <v>2.1022600253119639E-2</v>
      </c>
      <c r="AC46" s="4">
        <f t="shared" si="31"/>
        <v>3.216692892880145E-2</v>
      </c>
      <c r="AD46" s="4">
        <f t="shared" si="32"/>
        <v>4.3225394381316971E-2</v>
      </c>
      <c r="AE46" s="4">
        <f t="shared" si="33"/>
        <v>7.4988760098400206E-2</v>
      </c>
      <c r="AF46" s="4">
        <f t="shared" si="34"/>
        <v>3.6073846075159725E-2</v>
      </c>
      <c r="AH46" s="4">
        <f t="shared" si="35"/>
        <v>2.0414088610749379E-2</v>
      </c>
      <c r="AI46" s="4">
        <f t="shared" si="36"/>
        <v>7.0123932327833621E-2</v>
      </c>
      <c r="AJ46" s="4">
        <f t="shared" si="37"/>
        <v>4.7947925128340313E-2</v>
      </c>
      <c r="AK46" s="4">
        <f t="shared" si="38"/>
        <v>2.3169206718448389E-2</v>
      </c>
      <c r="AM46" s="4">
        <f t="shared" si="39"/>
        <v>5.2581017539550828E-2</v>
      </c>
      <c r="AN46" s="4">
        <f t="shared" si="40"/>
        <v>0.1133493267091506</v>
      </c>
      <c r="AO46" s="4">
        <f t="shared" si="41"/>
        <v>0.12293668522674052</v>
      </c>
      <c r="AP46" s="4">
        <f t="shared" si="42"/>
        <v>5.9243052793608114E-2</v>
      </c>
      <c r="AR46" s="4">
        <f t="shared" si="43"/>
        <v>3.7136999357477782E-4</v>
      </c>
      <c r="AS46" s="4">
        <f t="shared" si="44"/>
        <v>1.8310093428239668E-4</v>
      </c>
      <c r="AT46" s="4">
        <f t="shared" si="45"/>
        <v>1.8252664059617135E-3</v>
      </c>
      <c r="AV46" s="5">
        <f t="shared" si="46"/>
        <v>2.3797373338188882E-3</v>
      </c>
    </row>
    <row r="47" spans="1:48">
      <c r="A47" s="4">
        <v>4400</v>
      </c>
      <c r="B47" s="4">
        <v>3090</v>
      </c>
      <c r="C47" s="4">
        <v>0.215</v>
      </c>
      <c r="D47" s="4">
        <v>24.138571428571428</v>
      </c>
      <c r="E47" s="8">
        <v>1.6</v>
      </c>
      <c r="F47" s="4">
        <v>7.6920000000000002</v>
      </c>
      <c r="G47" s="8">
        <v>1.6</v>
      </c>
      <c r="H47" s="4">
        <v>23.899437342470396</v>
      </c>
      <c r="I47" s="8">
        <v>1.6</v>
      </c>
      <c r="K47" s="4">
        <v>92.300993950000006</v>
      </c>
      <c r="L47" s="4">
        <v>15</v>
      </c>
      <c r="M47" s="5">
        <v>7.6990060499999942</v>
      </c>
      <c r="P47" s="7">
        <f t="shared" si="20"/>
        <v>7.1930013856985739E-4</v>
      </c>
      <c r="Q47" s="7">
        <f t="shared" si="21"/>
        <v>2.1560826861268024E-2</v>
      </c>
      <c r="R47" s="7">
        <f t="shared" si="22"/>
        <v>3.9745635151489205E-3</v>
      </c>
      <c r="S47" s="7">
        <f t="shared" si="23"/>
        <v>2.5156565498997928E-4</v>
      </c>
      <c r="T47" s="7">
        <f t="shared" si="24"/>
        <v>2.9868505124239615E-4</v>
      </c>
      <c r="V47" s="5">
        <f t="shared" si="26"/>
        <v>2.6804941221219174E-2</v>
      </c>
      <c r="X47" s="4">
        <f t="shared" si="27"/>
        <v>0.52850998173548613</v>
      </c>
      <c r="Y47" s="4">
        <f t="shared" si="28"/>
        <v>0.21837740876989231</v>
      </c>
      <c r="Z47" s="4">
        <f t="shared" si="29"/>
        <v>6.0461454115706359E-2</v>
      </c>
      <c r="AA47" s="4">
        <f t="shared" si="30"/>
        <v>2.3097364668381415E-2</v>
      </c>
      <c r="AC47" s="4">
        <f t="shared" si="31"/>
        <v>3.3189183826482199E-2</v>
      </c>
      <c r="AD47" s="4">
        <f t="shared" si="32"/>
        <v>4.460231801268718E-2</v>
      </c>
      <c r="AE47" s="4">
        <f t="shared" si="33"/>
        <v>7.7339237209867628E-2</v>
      </c>
      <c r="AF47" s="4">
        <f t="shared" si="34"/>
        <v>3.7233650684619778E-2</v>
      </c>
      <c r="AH47" s="4">
        <f t="shared" si="35"/>
        <v>2.107386188174519E-2</v>
      </c>
      <c r="AI47" s="4">
        <f t="shared" si="36"/>
        <v>7.3659796185927787E-2</v>
      </c>
      <c r="AJ47" s="4">
        <f t="shared" si="37"/>
        <v>4.9475114679342271E-2</v>
      </c>
      <c r="AK47" s="4">
        <f t="shared" si="38"/>
        <v>2.3911968906949691E-2</v>
      </c>
      <c r="AM47" s="4">
        <f t="shared" si="39"/>
        <v>5.4263045708227389E-2</v>
      </c>
      <c r="AN47" s="4">
        <f t="shared" si="40"/>
        <v>0.11826211419861496</v>
      </c>
      <c r="AO47" s="4">
        <f t="shared" si="41"/>
        <v>0.12681435188920989</v>
      </c>
      <c r="AP47" s="4">
        <f t="shared" si="42"/>
        <v>6.1145619591569472E-2</v>
      </c>
      <c r="AR47" s="4">
        <f t="shared" si="43"/>
        <v>3.8324984716878928E-4</v>
      </c>
      <c r="AS47" s="4">
        <f t="shared" si="44"/>
        <v>1.8887630058110836E-4</v>
      </c>
      <c r="AT47" s="4">
        <f t="shared" si="45"/>
        <v>1.8973428050553737E-3</v>
      </c>
      <c r="AV47" s="5">
        <f t="shared" si="46"/>
        <v>2.4694689528052712E-3</v>
      </c>
    </row>
    <row r="48" spans="1:48">
      <c r="A48" s="4">
        <v>4500</v>
      </c>
      <c r="B48" s="4">
        <v>3160</v>
      </c>
      <c r="C48" s="4">
        <v>0.22</v>
      </c>
      <c r="D48" s="4">
        <v>24.488571428571426</v>
      </c>
      <c r="E48" s="8">
        <v>1.6</v>
      </c>
      <c r="F48" s="4">
        <v>7.8359999999999994</v>
      </c>
      <c r="G48" s="8">
        <v>1.6</v>
      </c>
      <c r="H48" s="4">
        <v>24.338630678013498</v>
      </c>
      <c r="I48" s="8">
        <v>1.6</v>
      </c>
      <c r="K48" s="4">
        <v>92.249490042999994</v>
      </c>
      <c r="L48" s="4">
        <v>15</v>
      </c>
      <c r="M48" s="5">
        <v>7.7505099570000056</v>
      </c>
      <c r="P48" s="7">
        <f t="shared" si="20"/>
        <v>7.2118440298948666E-4</v>
      </c>
      <c r="Q48" s="7">
        <f t="shared" si="21"/>
        <v>2.1833528038168886E-2</v>
      </c>
      <c r="R48" s="7">
        <f t="shared" si="22"/>
        <v>4.0564446218781282E-3</v>
      </c>
      <c r="S48" s="7">
        <f t="shared" si="23"/>
        <v>2.5831698770946025E-4</v>
      </c>
      <c r="T48" s="7">
        <f t="shared" si="24"/>
        <v>3.0674325193486978E-4</v>
      </c>
      <c r="V48" s="5">
        <f t="shared" si="26"/>
        <v>2.7176217302680831E-2</v>
      </c>
      <c r="X48" s="4">
        <f t="shared" si="27"/>
        <v>0.52447293159445452</v>
      </c>
      <c r="Y48" s="4">
        <f t="shared" si="28"/>
        <v>0.22590820132753786</v>
      </c>
      <c r="Z48" s="4">
        <f t="shared" si="29"/>
        <v>6.4372025646186715E-2</v>
      </c>
      <c r="AA48" s="4">
        <f t="shared" si="30"/>
        <v>2.5299476006262922E-2</v>
      </c>
      <c r="AC48" s="4">
        <f t="shared" si="31"/>
        <v>3.4211033309379663E-2</v>
      </c>
      <c r="AD48" s="4">
        <f t="shared" si="32"/>
        <v>4.5978414768690662E-2</v>
      </c>
      <c r="AE48" s="4">
        <f t="shared" si="33"/>
        <v>7.9685003941805596E-2</v>
      </c>
      <c r="AF48" s="4">
        <f t="shared" si="34"/>
        <v>3.8393095627824357E-2</v>
      </c>
      <c r="AH48" s="4">
        <f t="shared" si="35"/>
        <v>2.1733806853462854E-2</v>
      </c>
      <c r="AI48" s="4">
        <f t="shared" si="36"/>
        <v>7.7231446764974621E-2</v>
      </c>
      <c r="AJ48" s="4">
        <f t="shared" si="37"/>
        <v>5.1001187755445931E-2</v>
      </c>
      <c r="AK48" s="4">
        <f t="shared" si="38"/>
        <v>2.4654860511513922E-2</v>
      </c>
      <c r="AM48" s="4">
        <f t="shared" si="39"/>
        <v>5.5944840162842513E-2</v>
      </c>
      <c r="AN48" s="4">
        <f t="shared" si="40"/>
        <v>0.12320986153366528</v>
      </c>
      <c r="AO48" s="4">
        <f t="shared" si="41"/>
        <v>0.13068619169725154</v>
      </c>
      <c r="AP48" s="4">
        <f t="shared" si="42"/>
        <v>6.3047956139338279E-2</v>
      </c>
      <c r="AR48" s="4">
        <f t="shared" si="43"/>
        <v>3.9512805008364769E-4</v>
      </c>
      <c r="AS48" s="4">
        <f t="shared" si="44"/>
        <v>1.9464298840855921E-4</v>
      </c>
      <c r="AT48" s="4">
        <f t="shared" si="45"/>
        <v>1.9697864901436235E-3</v>
      </c>
      <c r="AV48" s="5">
        <f t="shared" si="46"/>
        <v>2.5595575286358301E-3</v>
      </c>
    </row>
    <row r="49" spans="1:48">
      <c r="A49" s="4">
        <v>4600</v>
      </c>
      <c r="B49" s="4">
        <v>3230</v>
      </c>
      <c r="C49" s="4">
        <v>0.22500000000000001</v>
      </c>
      <c r="D49" s="4">
        <v>24.835714285714285</v>
      </c>
      <c r="E49" s="8">
        <v>1.6</v>
      </c>
      <c r="F49" s="4">
        <v>7.9799999999999995</v>
      </c>
      <c r="G49" s="8">
        <v>1.6</v>
      </c>
      <c r="H49" s="4">
        <v>24.777824013556597</v>
      </c>
      <c r="I49" s="8">
        <v>1.6</v>
      </c>
      <c r="K49" s="4">
        <v>92.211383456999997</v>
      </c>
      <c r="L49" s="4">
        <v>15</v>
      </c>
      <c r="M49" s="5">
        <v>7.7886165430000034</v>
      </c>
      <c r="P49" s="7">
        <f t="shared" si="20"/>
        <v>7.2252467936968984E-4</v>
      </c>
      <c r="Q49" s="7">
        <f t="shared" si="21"/>
        <v>2.2036389859453543E-2</v>
      </c>
      <c r="R49" s="7">
        <f t="shared" si="22"/>
        <v>4.117912070605508E-3</v>
      </c>
      <c r="S49" s="7">
        <f t="shared" si="23"/>
        <v>2.6341638646133731E-4</v>
      </c>
      <c r="T49" s="7">
        <f t="shared" si="24"/>
        <v>3.1283073034040057E-4</v>
      </c>
      <c r="V49" s="5">
        <f t="shared" si="26"/>
        <v>2.745307372623048E-2</v>
      </c>
      <c r="X49" s="4">
        <f t="shared" si="27"/>
        <v>0.5199052546194648</v>
      </c>
      <c r="Y49" s="4">
        <f t="shared" si="28"/>
        <v>0.23323605439283845</v>
      </c>
      <c r="Z49" s="4">
        <f t="shared" si="29"/>
        <v>6.8361731579041352E-2</v>
      </c>
      <c r="AA49" s="4">
        <f t="shared" si="30"/>
        <v>2.7630770250255954E-2</v>
      </c>
      <c r="AC49" s="4">
        <f t="shared" si="31"/>
        <v>3.5231965578559975E-2</v>
      </c>
      <c r="AD49" s="4">
        <f t="shared" si="32"/>
        <v>4.7352962165275209E-2</v>
      </c>
      <c r="AE49" s="4">
        <f t="shared" si="33"/>
        <v>8.2024777879335473E-2</v>
      </c>
      <c r="AF49" s="4">
        <f t="shared" si="34"/>
        <v>3.9551556961105884E-2</v>
      </c>
      <c r="AH49" s="4">
        <f t="shared" si="35"/>
        <v>2.2393579492266131E-2</v>
      </c>
      <c r="AI49" s="4">
        <f t="shared" si="36"/>
        <v>8.0832069759111863E-2</v>
      </c>
      <c r="AJ49" s="4">
        <f t="shared" si="37"/>
        <v>5.2525330566959016E-2</v>
      </c>
      <c r="AK49" s="4">
        <f t="shared" si="38"/>
        <v>2.5397511738434506E-2</v>
      </c>
      <c r="AM49" s="4">
        <f t="shared" si="39"/>
        <v>5.7625545070826109E-2</v>
      </c>
      <c r="AN49" s="4">
        <f t="shared" si="40"/>
        <v>0.12818503192438707</v>
      </c>
      <c r="AO49" s="4">
        <f t="shared" si="41"/>
        <v>0.1345501084462945</v>
      </c>
      <c r="AP49" s="4">
        <f t="shared" si="42"/>
        <v>6.4949068699540397E-2</v>
      </c>
      <c r="AR49" s="4">
        <f t="shared" si="43"/>
        <v>4.0699855773233438E-4</v>
      </c>
      <c r="AS49" s="4">
        <f t="shared" si="44"/>
        <v>2.0039787569411032E-4</v>
      </c>
      <c r="AT49" s="4">
        <f t="shared" si="45"/>
        <v>2.0425072458593071E-3</v>
      </c>
      <c r="AV49" s="5">
        <f t="shared" si="46"/>
        <v>2.6499036792857517E-3</v>
      </c>
    </row>
    <row r="50" spans="1:48">
      <c r="A50" s="4">
        <v>4700</v>
      </c>
      <c r="B50" s="4">
        <v>3300</v>
      </c>
      <c r="C50" s="4">
        <v>0.23</v>
      </c>
      <c r="D50" s="4">
        <v>25.178571428571427</v>
      </c>
      <c r="E50" s="8">
        <v>1.6</v>
      </c>
      <c r="F50" s="4">
        <v>8.1239999999999988</v>
      </c>
      <c r="G50" s="8">
        <v>1.6</v>
      </c>
      <c r="H50" s="4">
        <v>25.217017349099695</v>
      </c>
      <c r="I50" s="8">
        <v>1.6</v>
      </c>
      <c r="K50" s="4">
        <v>92.161250429999996</v>
      </c>
      <c r="L50" s="4">
        <v>15</v>
      </c>
      <c r="M50" s="5">
        <v>7.8387495700000045</v>
      </c>
      <c r="P50" s="7">
        <f t="shared" si="20"/>
        <v>7.242176182349438E-4</v>
      </c>
      <c r="Q50" s="7">
        <f t="shared" si="21"/>
        <v>2.2304687230158594E-2</v>
      </c>
      <c r="R50" s="7">
        <f t="shared" si="22"/>
        <v>4.1999391859909446E-3</v>
      </c>
      <c r="S50" s="7">
        <f t="shared" si="23"/>
        <v>2.702628090578768E-4</v>
      </c>
      <c r="T50" s="7">
        <f t="shared" si="24"/>
        <v>3.2100504841893425E-4</v>
      </c>
      <c r="V50" s="5">
        <f t="shared" si="26"/>
        <v>2.7820111891861295E-2</v>
      </c>
      <c r="X50" s="4">
        <f t="shared" si="27"/>
        <v>0.51485157958617389</v>
      </c>
      <c r="Y50" s="4">
        <f t="shared" si="28"/>
        <v>0.2403474417284589</v>
      </c>
      <c r="Z50" s="4">
        <f t="shared" si="29"/>
        <v>7.2422871988943149E-2</v>
      </c>
      <c r="AA50" s="4">
        <f t="shared" si="30"/>
        <v>3.0092798441787583E-2</v>
      </c>
      <c r="AC50" s="4">
        <f t="shared" si="31"/>
        <v>3.6251480643531023E-2</v>
      </c>
      <c r="AD50" s="4">
        <f t="shared" si="32"/>
        <v>4.8725256019389387E-2</v>
      </c>
      <c r="AE50" s="4">
        <f t="shared" si="33"/>
        <v>8.4357318796532146E-2</v>
      </c>
      <c r="AF50" s="4">
        <f t="shared" si="34"/>
        <v>4.0708426868819682E-2</v>
      </c>
      <c r="AH50" s="4">
        <f t="shared" si="35"/>
        <v>2.3052843562982914E-2</v>
      </c>
      <c r="AI50" s="4">
        <f t="shared" si="36"/>
        <v>8.445493595563798E-2</v>
      </c>
      <c r="AJ50" s="4">
        <f t="shared" si="37"/>
        <v>5.4046750765691702E-2</v>
      </c>
      <c r="AK50" s="4">
        <f t="shared" si="38"/>
        <v>2.6139560524521339E-2</v>
      </c>
      <c r="AM50" s="4">
        <f t="shared" si="39"/>
        <v>5.9304324206513936E-2</v>
      </c>
      <c r="AN50" s="4">
        <f t="shared" si="40"/>
        <v>0.13318019197502737</v>
      </c>
      <c r="AO50" s="4">
        <f t="shared" si="41"/>
        <v>0.13840406956222384</v>
      </c>
      <c r="AP50" s="4">
        <f t="shared" si="42"/>
        <v>6.6847987393341024E-2</v>
      </c>
      <c r="AR50" s="4">
        <f t="shared" si="43"/>
        <v>4.1885546400777701E-4</v>
      </c>
      <c r="AS50" s="4">
        <f t="shared" si="44"/>
        <v>2.0613793513782466E-4</v>
      </c>
      <c r="AT50" s="4">
        <f t="shared" si="45"/>
        <v>2.1154162026077801E-3</v>
      </c>
      <c r="AV50" s="5">
        <f t="shared" si="46"/>
        <v>2.740409601753382E-3</v>
      </c>
    </row>
    <row r="51" spans="1:48">
      <c r="A51" s="4">
        <v>4800</v>
      </c>
      <c r="B51" s="4">
        <v>3370</v>
      </c>
      <c r="C51" s="4">
        <v>0.23499999999999999</v>
      </c>
      <c r="D51" s="4">
        <v>25.515714285714285</v>
      </c>
      <c r="E51" s="8">
        <v>1.6</v>
      </c>
      <c r="F51" s="4">
        <v>8.2679999999999989</v>
      </c>
      <c r="G51" s="8">
        <v>1.6</v>
      </c>
      <c r="H51" s="4">
        <v>25.656210684642797</v>
      </c>
      <c r="I51" s="8">
        <v>1.6</v>
      </c>
      <c r="K51" s="4">
        <v>92.124144788999999</v>
      </c>
      <c r="L51" s="4">
        <v>15</v>
      </c>
      <c r="M51" s="5">
        <v>7.8758552110000011</v>
      </c>
      <c r="P51" s="7">
        <f t="shared" si="20"/>
        <v>7.2541880332755338E-4</v>
      </c>
      <c r="Q51" s="7">
        <f t="shared" si="21"/>
        <v>2.2504293947267655E-2</v>
      </c>
      <c r="R51" s="7">
        <f t="shared" si="22"/>
        <v>4.2615091410578487E-3</v>
      </c>
      <c r="S51" s="7">
        <f t="shared" si="23"/>
        <v>2.7543261591617753E-4</v>
      </c>
      <c r="T51" s="7">
        <f t="shared" si="24"/>
        <v>3.2717854151589909E-4</v>
      </c>
      <c r="V51" s="5">
        <f t="shared" si="26"/>
        <v>2.8093833049085134E-2</v>
      </c>
      <c r="X51" s="4">
        <f t="shared" si="27"/>
        <v>0.50935483011163663</v>
      </c>
      <c r="Y51" s="4">
        <f t="shared" si="28"/>
        <v>0.24723030725151629</v>
      </c>
      <c r="Z51" s="4">
        <f t="shared" si="29"/>
        <v>7.6547643149426747E-2</v>
      </c>
      <c r="AA51" s="4">
        <f t="shared" si="30"/>
        <v>3.2686827254585715E-2</v>
      </c>
      <c r="AC51" s="4">
        <f t="shared" si="31"/>
        <v>3.7269090838607188E-2</v>
      </c>
      <c r="AD51" s="4">
        <f t="shared" si="32"/>
        <v>5.0094611213883512E-2</v>
      </c>
      <c r="AE51" s="4">
        <f t="shared" si="33"/>
        <v>8.6681429806294896E-2</v>
      </c>
      <c r="AF51" s="4">
        <f t="shared" si="34"/>
        <v>4.1863114294323267E-2</v>
      </c>
      <c r="AH51" s="4">
        <f t="shared" si="35"/>
        <v>2.371127098087045E-2</v>
      </c>
      <c r="AI51" s="4">
        <f t="shared" si="36"/>
        <v>8.8093438372537136E-2</v>
      </c>
      <c r="AJ51" s="4">
        <f t="shared" si="37"/>
        <v>5.5564678310875908E-2</v>
      </c>
      <c r="AK51" s="4">
        <f t="shared" si="38"/>
        <v>2.6880652921619258E-2</v>
      </c>
      <c r="AM51" s="4">
        <f t="shared" si="39"/>
        <v>6.0980361819477635E-2</v>
      </c>
      <c r="AN51" s="4">
        <f t="shared" si="40"/>
        <v>0.13818804958642064</v>
      </c>
      <c r="AO51" s="4">
        <f t="shared" si="41"/>
        <v>0.14224610811717081</v>
      </c>
      <c r="AP51" s="4">
        <f t="shared" si="42"/>
        <v>6.8743767215942525E-2</v>
      </c>
      <c r="AR51" s="4">
        <f t="shared" si="43"/>
        <v>4.3069300741570418E-4</v>
      </c>
      <c r="AS51" s="4">
        <f t="shared" si="44"/>
        <v>2.118602372127692E-4</v>
      </c>
      <c r="AT51" s="4">
        <f t="shared" si="45"/>
        <v>2.188426248146952E-3</v>
      </c>
      <c r="AV51" s="5">
        <f t="shared" si="46"/>
        <v>2.8309794927754255E-3</v>
      </c>
    </row>
    <row r="52" spans="1:48">
      <c r="A52" s="4">
        <v>4900</v>
      </c>
      <c r="B52" s="4">
        <v>3440</v>
      </c>
      <c r="C52" s="4">
        <v>0.24</v>
      </c>
      <c r="D52" s="4">
        <v>25.851428571428567</v>
      </c>
      <c r="E52" s="8">
        <v>1.6</v>
      </c>
      <c r="F52" s="4">
        <v>8.411999999999999</v>
      </c>
      <c r="G52" s="8">
        <v>1.6</v>
      </c>
      <c r="H52" s="4">
        <v>26.095404020185907</v>
      </c>
      <c r="I52" s="8">
        <v>1.6</v>
      </c>
      <c r="K52" s="4">
        <v>92.087452205999995</v>
      </c>
      <c r="L52" s="4">
        <v>15</v>
      </c>
      <c r="M52" s="5">
        <v>7.9125477940000053</v>
      </c>
      <c r="P52" s="7">
        <f t="shared" si="20"/>
        <v>7.2656295482870453E-4</v>
      </c>
      <c r="Q52" s="7">
        <f t="shared" si="21"/>
        <v>2.27025341523589E-2</v>
      </c>
      <c r="R52" s="7">
        <f t="shared" si="22"/>
        <v>4.3231189191790722E-3</v>
      </c>
      <c r="S52" s="7">
        <f t="shared" si="23"/>
        <v>2.8063205413551091E-4</v>
      </c>
      <c r="T52" s="7">
        <f t="shared" si="24"/>
        <v>3.3338825627715412E-4</v>
      </c>
      <c r="V52" s="5">
        <f t="shared" si="26"/>
        <v>2.836623633677934E-2</v>
      </c>
      <c r="X52" s="4">
        <f t="shared" si="27"/>
        <v>0.50345614614372536</v>
      </c>
      <c r="Y52" s="4">
        <f t="shared" si="28"/>
        <v>0.25387402596973607</v>
      </c>
      <c r="Z52" s="4">
        <f t="shared" si="29"/>
        <v>8.0728180022502039E-2</v>
      </c>
      <c r="AA52" s="4">
        <f t="shared" si="30"/>
        <v>3.541384102540146E-2</v>
      </c>
      <c r="AC52" s="4">
        <f t="shared" si="31"/>
        <v>3.828432135721406E-2</v>
      </c>
      <c r="AD52" s="4">
        <f t="shared" si="32"/>
        <v>5.1460362458946717E-2</v>
      </c>
      <c r="AE52" s="4">
        <f t="shared" si="33"/>
        <v>8.8995958432502312E-2</v>
      </c>
      <c r="AF52" s="4">
        <f t="shared" si="34"/>
        <v>4.3015045560516961E-2</v>
      </c>
      <c r="AH52" s="4">
        <f t="shared" si="35"/>
        <v>2.4368542168762639E-2</v>
      </c>
      <c r="AI52" s="4">
        <f t="shared" si="36"/>
        <v>9.174112527120061E-2</v>
      </c>
      <c r="AJ52" s="4">
        <f t="shared" si="37"/>
        <v>5.7078366319880752E-2</v>
      </c>
      <c r="AK52" s="4">
        <f t="shared" si="38"/>
        <v>2.7620443497944118E-2</v>
      </c>
      <c r="AM52" s="4">
        <f t="shared" si="39"/>
        <v>6.2652863525976696E-2</v>
      </c>
      <c r="AN52" s="4">
        <f t="shared" si="40"/>
        <v>0.14320148773014732</v>
      </c>
      <c r="AO52" s="4">
        <f t="shared" si="41"/>
        <v>0.14607432475238308</v>
      </c>
      <c r="AP52" s="4">
        <f t="shared" si="42"/>
        <v>7.0635489058461079E-2</v>
      </c>
      <c r="AR52" s="4">
        <f t="shared" si="43"/>
        <v>4.4250557737080567E-4</v>
      </c>
      <c r="AS52" s="4">
        <f t="shared" si="44"/>
        <v>2.1756195302892258E-4</v>
      </c>
      <c r="AT52" s="4">
        <f t="shared" si="45"/>
        <v>2.2614523955759177E-3</v>
      </c>
      <c r="AV52" s="5">
        <f t="shared" si="46"/>
        <v>2.921519925975646E-3</v>
      </c>
    </row>
    <row r="53" spans="1:48">
      <c r="A53" s="4">
        <v>5000</v>
      </c>
      <c r="B53" s="4">
        <v>3510</v>
      </c>
      <c r="C53" s="4">
        <v>0.245</v>
      </c>
      <c r="D53" s="4">
        <v>26.182857142857149</v>
      </c>
      <c r="E53" s="8">
        <v>1.6</v>
      </c>
      <c r="F53" s="4">
        <v>8.5560000000000009</v>
      </c>
      <c r="G53" s="8">
        <v>1.6</v>
      </c>
      <c r="H53" s="4">
        <v>26.534597355729002</v>
      </c>
      <c r="I53" s="8">
        <v>1.6</v>
      </c>
      <c r="K53" s="4">
        <v>92.039155620000003</v>
      </c>
      <c r="L53" s="4">
        <v>15</v>
      </c>
      <c r="M53" s="5">
        <v>7.9608443799999975</v>
      </c>
      <c r="P53" s="7">
        <f t="shared" si="20"/>
        <v>7.2800231064471378E-4</v>
      </c>
      <c r="Q53" s="7">
        <f t="shared" si="21"/>
        <v>2.296475751346443E-2</v>
      </c>
      <c r="R53" s="7">
        <f t="shared" si="22"/>
        <v>4.4053231745358858E-3</v>
      </c>
      <c r="S53" s="7">
        <f t="shared" si="23"/>
        <v>2.8761018289194784E-4</v>
      </c>
      <c r="T53" s="7">
        <f t="shared" si="24"/>
        <v>3.4172357262704061E-4</v>
      </c>
      <c r="V53" s="5">
        <f t="shared" si="26"/>
        <v>2.8727416754164018E-2</v>
      </c>
      <c r="X53" s="4">
        <f t="shared" si="27"/>
        <v>0.49719483077166304</v>
      </c>
      <c r="Y53" s="4">
        <f t="shared" si="28"/>
        <v>0.26026935814729824</v>
      </c>
      <c r="Z53" s="4">
        <f t="shared" si="29"/>
        <v>8.4956596216382296E-2</v>
      </c>
      <c r="AA53" s="4">
        <f t="shared" si="30"/>
        <v>3.8274545120465908E-2</v>
      </c>
      <c r="AC53" s="4">
        <f t="shared" si="31"/>
        <v>3.9296710781406945E-2</v>
      </c>
      <c r="AD53" s="4">
        <f t="shared" si="32"/>
        <v>5.2821865022265303E-2</v>
      </c>
      <c r="AE53" s="4">
        <f t="shared" si="33"/>
        <v>9.1299797564989557E-2</v>
      </c>
      <c r="AF53" s="4">
        <f t="shared" si="34"/>
        <v>4.4163664958428696E-2</v>
      </c>
      <c r="AH53" s="4">
        <f t="shared" si="35"/>
        <v>2.5024346406125612E-2</v>
      </c>
      <c r="AI53" s="4">
        <f t="shared" si="36"/>
        <v>9.5391729059068467E-2</v>
      </c>
      <c r="AJ53" s="4">
        <f t="shared" si="37"/>
        <v>5.8587091874042756E-2</v>
      </c>
      <c r="AK53" s="4">
        <f t="shared" si="38"/>
        <v>2.8358595739621836E-2</v>
      </c>
      <c r="AM53" s="4">
        <f t="shared" si="39"/>
        <v>6.432105718753256E-2</v>
      </c>
      <c r="AN53" s="4">
        <f t="shared" si="40"/>
        <v>0.14821359408133378</v>
      </c>
      <c r="AO53" s="4">
        <f t="shared" si="41"/>
        <v>0.14988688943903231</v>
      </c>
      <c r="AP53" s="4">
        <f t="shared" si="42"/>
        <v>7.2522260698050539E-2</v>
      </c>
      <c r="AR53" s="4">
        <f t="shared" si="43"/>
        <v>4.542877204019384E-4</v>
      </c>
      <c r="AS53" s="4">
        <f t="shared" si="44"/>
        <v>2.2324035695570833E-4</v>
      </c>
      <c r="AT53" s="4">
        <f t="shared" si="45"/>
        <v>2.3344121071904775E-3</v>
      </c>
      <c r="AV53" s="5">
        <f t="shared" si="46"/>
        <v>3.0119401845481245E-3</v>
      </c>
    </row>
    <row r="54" spans="1:48">
      <c r="A54" s="4">
        <v>5100</v>
      </c>
      <c r="B54" s="4">
        <v>3580</v>
      </c>
      <c r="C54" s="4">
        <v>0.25</v>
      </c>
      <c r="D54" s="4">
        <v>26.508571428571429</v>
      </c>
      <c r="E54" s="8">
        <v>1.6</v>
      </c>
      <c r="F54" s="4">
        <v>8.6999999999999993</v>
      </c>
      <c r="G54" s="8">
        <v>1.6</v>
      </c>
      <c r="H54" s="4">
        <v>26.9737906912721</v>
      </c>
      <c r="I54" s="8">
        <v>1.6</v>
      </c>
      <c r="K54" s="4">
        <v>92.003391981999997</v>
      </c>
      <c r="L54" s="4">
        <v>15</v>
      </c>
      <c r="M54" s="5">
        <v>7.9966080180000034</v>
      </c>
      <c r="P54" s="7">
        <f t="shared" si="20"/>
        <v>7.2901903073085213E-4</v>
      </c>
      <c r="Q54" s="7">
        <f t="shared" si="21"/>
        <v>2.3159873507443508E-2</v>
      </c>
      <c r="R54" s="7">
        <f t="shared" si="22"/>
        <v>4.4670168319018841E-3</v>
      </c>
      <c r="S54" s="7">
        <f t="shared" si="23"/>
        <v>2.9287753383040223E-4</v>
      </c>
      <c r="T54" s="7">
        <f t="shared" si="24"/>
        <v>3.4801635515055771E-4</v>
      </c>
      <c r="V54" s="5">
        <f t="shared" si="26"/>
        <v>2.8996803259057208E-2</v>
      </c>
      <c r="X54" s="4">
        <f t="shared" si="27"/>
        <v>0.49060831891235646</v>
      </c>
      <c r="Y54" s="4">
        <f t="shared" si="28"/>
        <v>0.26640839794491367</v>
      </c>
      <c r="Z54" s="4">
        <f t="shared" si="29"/>
        <v>8.9225021315701758E-2</v>
      </c>
      <c r="AA54" s="4">
        <f t="shared" si="30"/>
        <v>4.1269370517015957E-2</v>
      </c>
      <c r="AC54" s="4">
        <f t="shared" si="31"/>
        <v>4.030581158870445E-2</v>
      </c>
      <c r="AD54" s="4">
        <f t="shared" si="32"/>
        <v>5.4178495406504872E-2</v>
      </c>
      <c r="AE54" s="4">
        <f t="shared" si="33"/>
        <v>9.3591886268905605E-2</v>
      </c>
      <c r="AF54" s="4">
        <f t="shared" si="34"/>
        <v>4.5308435287436437E-2</v>
      </c>
      <c r="AH54" s="4">
        <f t="shared" si="35"/>
        <v>2.5678382159641154E-2</v>
      </c>
      <c r="AI54" s="4">
        <f t="shared" si="36"/>
        <v>9.903919116122975E-2</v>
      </c>
      <c r="AJ54" s="4">
        <f t="shared" si="37"/>
        <v>6.0090156757022326E-2</v>
      </c>
      <c r="AK54" s="4">
        <f t="shared" si="38"/>
        <v>2.9094782439243311E-2</v>
      </c>
      <c r="AM54" s="4">
        <f t="shared" si="39"/>
        <v>6.5984193748345604E-2</v>
      </c>
      <c r="AN54" s="4">
        <f t="shared" si="40"/>
        <v>0.15321768656773463</v>
      </c>
      <c r="AO54" s="4">
        <f t="shared" si="41"/>
        <v>0.15368204302592792</v>
      </c>
      <c r="AP54" s="4">
        <f t="shared" si="42"/>
        <v>7.4403217726679752E-2</v>
      </c>
      <c r="AR54" s="4">
        <f t="shared" si="43"/>
        <v>4.6603414606664786E-4</v>
      </c>
      <c r="AS54" s="4">
        <f t="shared" si="44"/>
        <v>2.2889282892714737E-4</v>
      </c>
      <c r="AT54" s="4">
        <f t="shared" si="45"/>
        <v>2.4072255745021471E-3</v>
      </c>
      <c r="AV54" s="5">
        <f t="shared" si="46"/>
        <v>3.1021525494959422E-3</v>
      </c>
    </row>
    <row r="55" spans="1:48">
      <c r="A55" s="4">
        <v>5200</v>
      </c>
      <c r="B55" s="4">
        <v>3650</v>
      </c>
      <c r="C55" s="4">
        <v>0.255</v>
      </c>
      <c r="D55" s="4">
        <v>26.831428571428571</v>
      </c>
      <c r="E55" s="8">
        <v>1.6</v>
      </c>
      <c r="F55" s="4">
        <v>8.8439999999999994</v>
      </c>
      <c r="G55" s="8">
        <v>1.6</v>
      </c>
      <c r="H55" s="4">
        <v>27.412984026815202</v>
      </c>
      <c r="I55" s="8">
        <v>1.6</v>
      </c>
      <c r="K55" s="4">
        <v>91.968012219000002</v>
      </c>
      <c r="L55" s="4">
        <v>15</v>
      </c>
      <c r="M55" s="5">
        <v>8.031987780999998</v>
      </c>
      <c r="P55" s="7">
        <f t="shared" si="20"/>
        <v>7.2998344567362845E-4</v>
      </c>
      <c r="Q55" s="7">
        <f t="shared" si="21"/>
        <v>2.335367741115223E-2</v>
      </c>
      <c r="R55" s="7">
        <f t="shared" si="22"/>
        <v>4.5287427322410843E-3</v>
      </c>
      <c r="S55" s="7">
        <f t="shared" si="23"/>
        <v>2.9817347738257585E-4</v>
      </c>
      <c r="T55" s="7">
        <f t="shared" si="24"/>
        <v>3.543441322158518E-4</v>
      </c>
      <c r="V55" s="5">
        <f t="shared" si="26"/>
        <v>2.9264921198665372E-2</v>
      </c>
      <c r="X55" s="4">
        <f t="shared" si="27"/>
        <v>0.48373216476696146</v>
      </c>
      <c r="Y55" s="4">
        <f t="shared" si="28"/>
        <v>0.27228451766416784</v>
      </c>
      <c r="Z55" s="4">
        <f t="shared" si="29"/>
        <v>9.3525635526756634E-2</v>
      </c>
      <c r="AA55" s="4">
        <f t="shared" si="30"/>
        <v>4.4398479480482811E-2</v>
      </c>
      <c r="AC55" s="4">
        <f t="shared" si="31"/>
        <v>4.1311190622495428E-2</v>
      </c>
      <c r="AD55" s="4">
        <f t="shared" si="32"/>
        <v>5.5529651958209011E-2</v>
      </c>
      <c r="AE55" s="4">
        <f t="shared" si="33"/>
        <v>9.58712104292814E-2</v>
      </c>
      <c r="AF55" s="4">
        <f t="shared" si="34"/>
        <v>4.6448838335084411E-2</v>
      </c>
      <c r="AH55" s="4">
        <f t="shared" si="35"/>
        <v>2.6330357387424237E-2</v>
      </c>
      <c r="AI55" s="4">
        <f t="shared" si="36"/>
        <v>0.10267768299345566</v>
      </c>
      <c r="AJ55" s="4">
        <f t="shared" si="37"/>
        <v>6.1586888109149966E-2</v>
      </c>
      <c r="AK55" s="4">
        <f t="shared" si="38"/>
        <v>2.9828686061208594E-2</v>
      </c>
      <c r="AM55" s="4">
        <f t="shared" si="39"/>
        <v>6.7641548009919672E-2</v>
      </c>
      <c r="AN55" s="4">
        <f t="shared" si="40"/>
        <v>0.15820733495166467</v>
      </c>
      <c r="AO55" s="4">
        <f t="shared" si="41"/>
        <v>0.15745809853843137</v>
      </c>
      <c r="AP55" s="4">
        <f t="shared" si="42"/>
        <v>7.6277524396293012E-2</v>
      </c>
      <c r="AR55" s="4">
        <f t="shared" si="43"/>
        <v>4.7773973242219768E-4</v>
      </c>
      <c r="AS55" s="4">
        <f t="shared" si="44"/>
        <v>2.3451685637645092E-4</v>
      </c>
      <c r="AT55" s="4">
        <f t="shared" si="45"/>
        <v>2.479815955417913E-3</v>
      </c>
      <c r="AV55" s="5">
        <f t="shared" si="46"/>
        <v>3.1920725442165614E-3</v>
      </c>
    </row>
    <row r="56" spans="1:48">
      <c r="A56" s="4">
        <v>5300</v>
      </c>
      <c r="B56" s="4">
        <v>3720</v>
      </c>
      <c r="C56" s="4">
        <v>0.26</v>
      </c>
      <c r="D56" s="4">
        <v>27.151428571428571</v>
      </c>
      <c r="E56" s="8">
        <v>1.6</v>
      </c>
      <c r="F56" s="4">
        <v>8.9879999999999995</v>
      </c>
      <c r="G56" s="8">
        <v>1.6</v>
      </c>
      <c r="H56" s="4">
        <v>27.852177362358304</v>
      </c>
      <c r="I56" s="8">
        <v>1.6</v>
      </c>
      <c r="K56" s="4">
        <v>91.933008177000005</v>
      </c>
      <c r="L56" s="4">
        <v>15</v>
      </c>
      <c r="M56" s="5">
        <v>8.0669918229999951</v>
      </c>
      <c r="P56" s="7">
        <f t="shared" si="20"/>
        <v>7.308968769779901E-4</v>
      </c>
      <c r="Q56" s="7">
        <f t="shared" si="21"/>
        <v>2.3546184929908284E-2</v>
      </c>
      <c r="R56" s="7">
        <f t="shared" si="22"/>
        <v>4.5904987500868522E-3</v>
      </c>
      <c r="S56" s="7">
        <f t="shared" si="23"/>
        <v>3.0349771350457981E-4</v>
      </c>
      <c r="T56" s="7">
        <f t="shared" si="24"/>
        <v>3.607065492143124E-4</v>
      </c>
      <c r="V56" s="5">
        <f t="shared" si="26"/>
        <v>2.9531784819692014E-2</v>
      </c>
      <c r="X56" s="4">
        <f t="shared" si="27"/>
        <v>0.47660004526139188</v>
      </c>
      <c r="Y56" s="4">
        <f t="shared" si="28"/>
        <v>0.27789230861489167</v>
      </c>
      <c r="Z56" s="4">
        <f t="shared" si="29"/>
        <v>9.7850701613877544E-2</v>
      </c>
      <c r="AA56" s="4">
        <f t="shared" si="30"/>
        <v>4.7661772220336518E-2</v>
      </c>
      <c r="AC56" s="4">
        <f t="shared" si="31"/>
        <v>4.2312429515832597E-2</v>
      </c>
      <c r="AD56" s="4">
        <f t="shared" si="32"/>
        <v>5.6874755396867191E-2</v>
      </c>
      <c r="AE56" s="4">
        <f t="shared" si="33"/>
        <v>9.8136803219364424E-2</v>
      </c>
      <c r="AF56" s="4">
        <f t="shared" si="34"/>
        <v>4.7584375288140655E-2</v>
      </c>
      <c r="AH56" s="4">
        <f t="shared" si="35"/>
        <v>2.6979989811103111E-2</v>
      </c>
      <c r="AI56" s="4">
        <f t="shared" si="36"/>
        <v>0.10630162321226348</v>
      </c>
      <c r="AJ56" s="4">
        <f t="shared" si="37"/>
        <v>6.3076638986344788E-2</v>
      </c>
      <c r="AK56" s="4">
        <f t="shared" si="38"/>
        <v>3.055999907617183E-2</v>
      </c>
      <c r="AM56" s="4">
        <f t="shared" si="39"/>
        <v>6.9292419326935709E-2</v>
      </c>
      <c r="AN56" s="4">
        <f t="shared" si="40"/>
        <v>0.16317637860913067</v>
      </c>
      <c r="AO56" s="4">
        <f t="shared" si="41"/>
        <v>0.16121344220570921</v>
      </c>
      <c r="AP56" s="4">
        <f t="shared" si="42"/>
        <v>7.8144374364312486E-2</v>
      </c>
      <c r="AR56" s="4">
        <f t="shared" si="43"/>
        <v>4.8939953094039631E-4</v>
      </c>
      <c r="AS56" s="4">
        <f t="shared" si="44"/>
        <v>2.4011003576600298E-4</v>
      </c>
      <c r="AT56" s="4">
        <f t="shared" si="45"/>
        <v>2.5521095701491882E-3</v>
      </c>
      <c r="AV56" s="5">
        <f t="shared" si="46"/>
        <v>3.2816191368555876E-3</v>
      </c>
    </row>
    <row r="57" spans="1:48">
      <c r="A57" s="4">
        <v>5400</v>
      </c>
      <c r="B57" s="4">
        <v>3790</v>
      </c>
      <c r="C57" s="4">
        <v>0.26500000000000001</v>
      </c>
      <c r="D57" s="4">
        <v>27.46857142857143</v>
      </c>
      <c r="E57" s="8">
        <v>1.6</v>
      </c>
      <c r="F57" s="4">
        <v>9.1319999999999997</v>
      </c>
      <c r="G57" s="8">
        <v>1.6</v>
      </c>
      <c r="H57" s="4">
        <v>28.291370697901403</v>
      </c>
      <c r="I57" s="8">
        <v>1.6</v>
      </c>
      <c r="K57" s="4">
        <v>91.898371960000006</v>
      </c>
      <c r="L57" s="4">
        <v>15</v>
      </c>
      <c r="M57" s="5">
        <v>8.1016280399999943</v>
      </c>
      <c r="P57" s="7">
        <f t="shared" si="20"/>
        <v>7.3176060448714353E-4</v>
      </c>
      <c r="Q57" s="7">
        <f t="shared" si="21"/>
        <v>2.3737411486108417E-2</v>
      </c>
      <c r="R57" s="7">
        <f t="shared" si="22"/>
        <v>4.652282821820234E-3</v>
      </c>
      <c r="S57" s="7">
        <f t="shared" si="23"/>
        <v>3.0884994705836092E-4</v>
      </c>
      <c r="T57" s="7">
        <f t="shared" si="24"/>
        <v>3.6710325726460277E-4</v>
      </c>
      <c r="V57" s="5">
        <f t="shared" si="26"/>
        <v>2.9797408116738758E-2</v>
      </c>
      <c r="X57" s="4">
        <f t="shared" si="27"/>
        <v>0.46924377698201947</v>
      </c>
      <c r="Y57" s="4">
        <f t="shared" si="28"/>
        <v>0.28322751951748915</v>
      </c>
      <c r="Z57" s="4">
        <f t="shared" si="29"/>
        <v>0.10219259413222315</v>
      </c>
      <c r="AA57" s="4">
        <f t="shared" si="30"/>
        <v>5.1058894410882627E-2</v>
      </c>
      <c r="AC57" s="4">
        <f t="shared" si="31"/>
        <v>4.3309125061425133E-2</v>
      </c>
      <c r="AD57" s="4">
        <f t="shared" si="32"/>
        <v>5.8213249256802109E-2</v>
      </c>
      <c r="AE57" s="4">
        <f t="shared" si="33"/>
        <v>0.10038774538759654</v>
      </c>
      <c r="AF57" s="4">
        <f t="shared" si="34"/>
        <v>4.8714567069622544E-2</v>
      </c>
      <c r="AH57" s="4">
        <f t="shared" si="35"/>
        <v>2.7627007151776007E-2</v>
      </c>
      <c r="AI57" s="4">
        <f t="shared" si="36"/>
        <v>0.10990569145107253</v>
      </c>
      <c r="AJ57" s="4">
        <f t="shared" si="37"/>
        <v>6.4558788816456117E-2</v>
      </c>
      <c r="AK57" s="4">
        <f t="shared" si="38"/>
        <v>3.1288424259047973E-2</v>
      </c>
      <c r="AM57" s="4">
        <f t="shared" si="39"/>
        <v>7.0936132213201136E-2</v>
      </c>
      <c r="AN57" s="4">
        <f t="shared" si="40"/>
        <v>0.16811894070787464</v>
      </c>
      <c r="AO57" s="4">
        <f t="shared" si="41"/>
        <v>0.16494653420405264</v>
      </c>
      <c r="AP57" s="4">
        <f t="shared" si="42"/>
        <v>8.0002991328670517E-2</v>
      </c>
      <c r="AR57" s="4">
        <f t="shared" si="43"/>
        <v>5.0100877078730524E-4</v>
      </c>
      <c r="AS57" s="4">
        <f t="shared" si="44"/>
        <v>2.4567007369445481E-4</v>
      </c>
      <c r="AT57" s="4">
        <f t="shared" si="45"/>
        <v>2.6240360578688371E-3</v>
      </c>
      <c r="AV57" s="5">
        <f t="shared" si="46"/>
        <v>3.3707149023505974E-3</v>
      </c>
    </row>
    <row r="58" spans="1:48">
      <c r="A58" s="4">
        <v>5500</v>
      </c>
      <c r="B58" s="4">
        <v>3860</v>
      </c>
      <c r="C58" s="4">
        <v>0.27</v>
      </c>
      <c r="D58" s="4">
        <v>27.78142857142857</v>
      </c>
      <c r="E58" s="8">
        <v>1.6</v>
      </c>
      <c r="F58" s="4">
        <v>9.2759999999999998</v>
      </c>
      <c r="G58" s="8">
        <v>1.6</v>
      </c>
      <c r="H58" s="4">
        <v>28.730564033444498</v>
      </c>
      <c r="I58" s="8">
        <v>1.6</v>
      </c>
      <c r="K58" s="4">
        <v>91.864095918000004</v>
      </c>
      <c r="L58" s="4">
        <v>15</v>
      </c>
      <c r="M58" s="5">
        <v>8.1359040819999962</v>
      </c>
      <c r="P58" s="7">
        <f t="shared" si="20"/>
        <v>7.3257586805993303E-4</v>
      </c>
      <c r="Q58" s="7">
        <f t="shared" si="21"/>
        <v>2.3927372232523444E-2</v>
      </c>
      <c r="R58" s="7">
        <f t="shared" si="22"/>
        <v>4.7140929456811484E-3</v>
      </c>
      <c r="S58" s="7">
        <f t="shared" si="23"/>
        <v>3.1422988788206037E-4</v>
      </c>
      <c r="T58" s="7">
        <f t="shared" si="24"/>
        <v>3.7353391330092203E-4</v>
      </c>
      <c r="V58" s="5">
        <f t="shared" si="26"/>
        <v>3.0061804847447506E-2</v>
      </c>
      <c r="X58" s="4">
        <f t="shared" si="27"/>
        <v>0.461693344393034</v>
      </c>
      <c r="Y58" s="4">
        <f t="shared" si="28"/>
        <v>0.28828699325065943</v>
      </c>
      <c r="Z58" s="4">
        <f t="shared" si="29"/>
        <v>0.10654382598741396</v>
      </c>
      <c r="AA58" s="4">
        <f t="shared" si="30"/>
        <v>5.458924546737931E-2</v>
      </c>
      <c r="AC58" s="4">
        <f t="shared" si="31"/>
        <v>4.4300889523155466E-2</v>
      </c>
      <c r="AD58" s="4">
        <f t="shared" si="32"/>
        <v>5.954460023776123E-2</v>
      </c>
      <c r="AE58" s="4">
        <f t="shared" si="33"/>
        <v>0.10262316536322159</v>
      </c>
      <c r="AF58" s="4">
        <f t="shared" si="34"/>
        <v>4.9838954599061722E-2</v>
      </c>
      <c r="AH58" s="4">
        <f t="shared" si="35"/>
        <v>2.8271147327351587E-2</v>
      </c>
      <c r="AI58" s="4">
        <f t="shared" si="36"/>
        <v>0.11348483877619032</v>
      </c>
      <c r="AJ58" s="4">
        <f t="shared" si="37"/>
        <v>6.6032743749402767E-2</v>
      </c>
      <c r="AK58" s="4">
        <f t="shared" si="38"/>
        <v>3.2013674946849091E-2</v>
      </c>
      <c r="AM58" s="4">
        <f t="shared" si="39"/>
        <v>7.257203685050706E-2</v>
      </c>
      <c r="AN58" s="4">
        <f t="shared" si="40"/>
        <v>0.17302943901395157</v>
      </c>
      <c r="AO58" s="4">
        <f t="shared" si="41"/>
        <v>0.16865590911262435</v>
      </c>
      <c r="AP58" s="4">
        <f t="shared" si="42"/>
        <v>8.1852629545910813E-2</v>
      </c>
      <c r="AR58" s="4">
        <f t="shared" si="43"/>
        <v>5.1256286241720334E-4</v>
      </c>
      <c r="AS58" s="4">
        <f t="shared" si="44"/>
        <v>2.5119478757551061E-4</v>
      </c>
      <c r="AT58" s="4">
        <f t="shared" si="45"/>
        <v>2.6955284964763518E-3</v>
      </c>
      <c r="AV58" s="5">
        <f t="shared" si="46"/>
        <v>3.4592861464690658E-3</v>
      </c>
    </row>
    <row r="59" spans="1:48">
      <c r="A59" s="4">
        <v>5600</v>
      </c>
      <c r="B59" s="4">
        <v>3930</v>
      </c>
      <c r="C59" s="4">
        <v>0.27500000000000002</v>
      </c>
      <c r="D59" s="4">
        <v>28.09</v>
      </c>
      <c r="E59" s="8">
        <v>1.6</v>
      </c>
      <c r="F59" s="4">
        <v>9.4199999999999982</v>
      </c>
      <c r="G59" s="8">
        <v>1.6</v>
      </c>
      <c r="H59" s="4">
        <v>29.1697573689876</v>
      </c>
      <c r="I59" s="8">
        <v>1.6</v>
      </c>
      <c r="K59" s="4">
        <v>91.830172637000004</v>
      </c>
      <c r="L59" s="4">
        <v>15</v>
      </c>
      <c r="M59" s="5">
        <v>8.169827362999996</v>
      </c>
      <c r="P59" s="7">
        <f t="shared" si="20"/>
        <v>7.3334386912875249E-4</v>
      </c>
      <c r="Q59" s="7">
        <f t="shared" si="21"/>
        <v>2.4116082057540882E-2</v>
      </c>
      <c r="R59" s="7">
        <f t="shared" si="22"/>
        <v>4.7759271793749222E-3</v>
      </c>
      <c r="S59" s="7">
        <f t="shared" si="23"/>
        <v>3.1963725065069616E-4</v>
      </c>
      <c r="T59" s="7">
        <f t="shared" si="24"/>
        <v>3.7999817991061108E-4</v>
      </c>
      <c r="V59" s="5">
        <f t="shared" si="26"/>
        <v>3.0324988536605861E-2</v>
      </c>
      <c r="X59" s="4">
        <f t="shared" si="27"/>
        <v>0.45397693737494871</v>
      </c>
      <c r="Y59" s="4">
        <f t="shared" si="28"/>
        <v>0.29306860265941292</v>
      </c>
      <c r="Z59" s="4">
        <f t="shared" si="29"/>
        <v>0.11089707237374646</v>
      </c>
      <c r="AA59" s="4">
        <f t="shared" si="30"/>
        <v>5.8251987472502709E-2</v>
      </c>
      <c r="AC59" s="4">
        <f t="shared" si="31"/>
        <v>4.5287350886519757E-2</v>
      </c>
      <c r="AD59" s="4">
        <f t="shared" si="32"/>
        <v>6.0868298462735032E-2</v>
      </c>
      <c r="AE59" s="4">
        <f t="shared" si="33"/>
        <v>0.10484223918454703</v>
      </c>
      <c r="AF59" s="4">
        <f t="shared" si="34"/>
        <v>5.0957098975347975E-2</v>
      </c>
      <c r="AH59" s="4">
        <f t="shared" si="35"/>
        <v>2.8912158610008062E-2</v>
      </c>
      <c r="AI59" s="4">
        <f t="shared" si="36"/>
        <v>0.11703429511312301</v>
      </c>
      <c r="AJ59" s="4">
        <f t="shared" si="37"/>
        <v>6.7497936900347305E-2</v>
      </c>
      <c r="AK59" s="4">
        <f t="shared" si="38"/>
        <v>3.273547525411754E-2</v>
      </c>
      <c r="AM59" s="4">
        <f t="shared" si="39"/>
        <v>7.4199509496527816E-2</v>
      </c>
      <c r="AN59" s="4">
        <f t="shared" si="40"/>
        <v>0.17790259357585803</v>
      </c>
      <c r="AO59" s="4">
        <f t="shared" si="41"/>
        <v>0.17234017608489433</v>
      </c>
      <c r="AP59" s="4">
        <f t="shared" si="42"/>
        <v>8.3692574229465522E-2</v>
      </c>
      <c r="AR59" s="4">
        <f t="shared" si="43"/>
        <v>5.2405740045350583E-4</v>
      </c>
      <c r="AS59" s="4">
        <f t="shared" si="44"/>
        <v>2.5668210589326263E-4</v>
      </c>
      <c r="AT59" s="4">
        <f t="shared" si="45"/>
        <v>2.766523488074062E-3</v>
      </c>
      <c r="AV59" s="5">
        <f t="shared" si="46"/>
        <v>3.5472629944208306E-3</v>
      </c>
    </row>
    <row r="60" spans="1:48">
      <c r="A60" s="4">
        <v>5700</v>
      </c>
      <c r="B60" s="4">
        <v>4000</v>
      </c>
      <c r="C60" s="4">
        <v>0.28000000000000003</v>
      </c>
      <c r="D60" s="4">
        <v>28.398571428571426</v>
      </c>
      <c r="E60" s="8">
        <v>1.6</v>
      </c>
      <c r="F60" s="4">
        <v>9.5639999999999983</v>
      </c>
      <c r="G60" s="8">
        <v>1.6</v>
      </c>
      <c r="H60" s="4">
        <v>29.608950704530709</v>
      </c>
      <c r="I60" s="8">
        <v>1.6</v>
      </c>
      <c r="K60" s="4">
        <v>91.785477946</v>
      </c>
      <c r="L60" s="4">
        <v>15</v>
      </c>
      <c r="M60" s="5">
        <v>8.2145220539999997</v>
      </c>
      <c r="P60" s="7">
        <f t="shared" si="20"/>
        <v>7.3429635861271163E-4</v>
      </c>
      <c r="Q60" s="7">
        <f t="shared" si="21"/>
        <v>2.4365774514992469E-2</v>
      </c>
      <c r="R60" s="7">
        <f t="shared" si="22"/>
        <v>4.8584070738564899E-3</v>
      </c>
      <c r="S60" s="7">
        <f t="shared" si="23"/>
        <v>3.2688923928315733E-4</v>
      </c>
      <c r="T60" s="7">
        <f t="shared" si="24"/>
        <v>3.886689118002172E-4</v>
      </c>
      <c r="V60" s="5">
        <f t="shared" si="26"/>
        <v>3.0674036098545042E-2</v>
      </c>
      <c r="X60" s="4">
        <f t="shared" si="27"/>
        <v>0.44612099635503</v>
      </c>
      <c r="Y60" s="4">
        <f t="shared" si="28"/>
        <v>0.29757118604905242</v>
      </c>
      <c r="Z60" s="4">
        <f t="shared" si="29"/>
        <v>0.11524519216058637</v>
      </c>
      <c r="AA60" s="4">
        <f t="shared" si="30"/>
        <v>6.2046054653312144E-2</v>
      </c>
      <c r="AC60" s="4">
        <f t="shared" si="31"/>
        <v>4.6268153047086868E-2</v>
      </c>
      <c r="AD60" s="4">
        <f t="shared" si="32"/>
        <v>6.2183857643650635E-2</v>
      </c>
      <c r="AE60" s="4">
        <f t="shared" si="33"/>
        <v>0.10704419025700875</v>
      </c>
      <c r="AF60" s="4">
        <f t="shared" si="34"/>
        <v>5.2068581583148733E-2</v>
      </c>
      <c r="AH60" s="4">
        <f t="shared" si="35"/>
        <v>2.9549799743506577E-2</v>
      </c>
      <c r="AI60" s="4">
        <f t="shared" si="36"/>
        <v>0.12054957390351266</v>
      </c>
      <c r="AJ60" s="4">
        <f t="shared" si="37"/>
        <v>6.8953828487431354E-2</v>
      </c>
      <c r="AK60" s="4">
        <f t="shared" si="38"/>
        <v>3.3453560244954626E-2</v>
      </c>
      <c r="AM60" s="4">
        <f t="shared" si="39"/>
        <v>7.5817952790593446E-2</v>
      </c>
      <c r="AN60" s="4">
        <f t="shared" si="40"/>
        <v>0.18273343154716329</v>
      </c>
      <c r="AO60" s="4">
        <f t="shared" si="41"/>
        <v>0.1759980187444401</v>
      </c>
      <c r="AP60" s="4">
        <f t="shared" si="42"/>
        <v>8.552214182810336E-2</v>
      </c>
      <c r="AR60" s="4">
        <f t="shared" si="43"/>
        <v>5.3548816584837863E-4</v>
      </c>
      <c r="AS60" s="4">
        <f t="shared" si="44"/>
        <v>2.6213006804699698E-4</v>
      </c>
      <c r="AT60" s="4">
        <f t="shared" si="45"/>
        <v>2.8369612129140686E-3</v>
      </c>
      <c r="AV60" s="5">
        <f t="shared" si="46"/>
        <v>3.6345794468094442E-3</v>
      </c>
    </row>
    <row r="61" spans="1:48">
      <c r="A61" s="4">
        <v>5800</v>
      </c>
      <c r="B61" s="4">
        <v>4070</v>
      </c>
      <c r="C61" s="4">
        <v>0.28499999999999998</v>
      </c>
      <c r="D61" s="4">
        <v>28.701428571428568</v>
      </c>
      <c r="E61" s="8">
        <v>1.6</v>
      </c>
      <c r="F61" s="4">
        <v>9.7080000000000002</v>
      </c>
      <c r="G61" s="8">
        <v>1.6</v>
      </c>
      <c r="H61" s="4">
        <v>30.048144040073812</v>
      </c>
      <c r="I61" s="8">
        <v>1.6</v>
      </c>
      <c r="K61" s="4">
        <v>91.752350199999995</v>
      </c>
      <c r="L61" s="4">
        <v>15</v>
      </c>
      <c r="M61" s="5">
        <v>8.2476498000000049</v>
      </c>
      <c r="P61" s="7">
        <f t="shared" si="20"/>
        <v>7.3495854782656359E-4</v>
      </c>
      <c r="Q61" s="7">
        <f t="shared" si="21"/>
        <v>2.455162196069139E-2</v>
      </c>
      <c r="R61" s="7">
        <f t="shared" si="22"/>
        <v>4.9202903223500329E-3</v>
      </c>
      <c r="S61" s="7">
        <f t="shared" si="23"/>
        <v>3.3235950269819265E-4</v>
      </c>
      <c r="T61" s="7">
        <f t="shared" si="24"/>
        <v>3.9521032095429261E-4</v>
      </c>
      <c r="V61" s="5">
        <f t="shared" si="26"/>
        <v>3.093444065452047E-2</v>
      </c>
      <c r="X61" s="4">
        <f t="shared" si="27"/>
        <v>0.43815026351083097</v>
      </c>
      <c r="Y61" s="4">
        <f t="shared" si="28"/>
        <v>0.30179448290807931</v>
      </c>
      <c r="Z61" s="4">
        <f t="shared" si="29"/>
        <v>0.1195812468112224</v>
      </c>
      <c r="AA61" s="4">
        <f t="shared" si="30"/>
        <v>6.5970163314324592E-2</v>
      </c>
      <c r="AC61" s="4">
        <f t="shared" si="31"/>
        <v>4.7242955937433669E-2</v>
      </c>
      <c r="AD61" s="4">
        <f t="shared" si="32"/>
        <v>6.3490815157268565E-2</v>
      </c>
      <c r="AE61" s="4">
        <f t="shared" si="33"/>
        <v>0.10922828895052913</v>
      </c>
      <c r="AF61" s="4">
        <f t="shared" si="34"/>
        <v>5.3173004125201963E-2</v>
      </c>
      <c r="AH61" s="4">
        <f t="shared" si="35"/>
        <v>3.0183840020894841E-2</v>
      </c>
      <c r="AI61" s="4">
        <f t="shared" si="36"/>
        <v>0.12402647425679825</v>
      </c>
      <c r="AJ61" s="4">
        <f t="shared" si="37"/>
        <v>7.0399905867393822E-2</v>
      </c>
      <c r="AK61" s="4">
        <f t="shared" si="38"/>
        <v>3.4167676061640222E-2</v>
      </c>
      <c r="AM61" s="4">
        <f t="shared" si="39"/>
        <v>7.7426795958328506E-2</v>
      </c>
      <c r="AN61" s="4">
        <f t="shared" si="40"/>
        <v>0.18751728941406681</v>
      </c>
      <c r="AO61" s="4">
        <f t="shared" si="41"/>
        <v>0.17962819481792297</v>
      </c>
      <c r="AP61" s="4">
        <f t="shared" si="42"/>
        <v>8.7340680186842184E-2</v>
      </c>
      <c r="AR61" s="4">
        <f t="shared" si="43"/>
        <v>5.4685112732806432E-4</v>
      </c>
      <c r="AS61" s="4">
        <f t="shared" si="44"/>
        <v>2.6753682380455129E-4</v>
      </c>
      <c r="AT61" s="4">
        <f t="shared" si="45"/>
        <v>2.9067854546577249E-3</v>
      </c>
      <c r="AV61" s="5">
        <f t="shared" si="46"/>
        <v>3.7211734057903405E-3</v>
      </c>
    </row>
    <row r="62" spans="1:48">
      <c r="A62" s="4">
        <v>5900</v>
      </c>
      <c r="B62" s="4">
        <v>4140</v>
      </c>
      <c r="C62" s="4">
        <v>0.28999999999999998</v>
      </c>
      <c r="D62" s="4">
        <v>29.004285714285714</v>
      </c>
      <c r="E62" s="8">
        <v>1.6</v>
      </c>
      <c r="F62" s="4">
        <v>9.8520000000000003</v>
      </c>
      <c r="G62" s="8">
        <v>1.6</v>
      </c>
      <c r="H62" s="4">
        <v>30.487337375616907</v>
      </c>
      <c r="I62" s="8">
        <v>1.6</v>
      </c>
      <c r="K62" s="4">
        <v>91.719552088</v>
      </c>
      <c r="L62" s="4">
        <v>15</v>
      </c>
      <c r="M62" s="5">
        <v>8.2804479119999996</v>
      </c>
      <c r="P62" s="7">
        <f t="shared" si="20"/>
        <v>7.3557722034792356E-4</v>
      </c>
      <c r="Q62" s="7">
        <f t="shared" si="21"/>
        <v>2.4736266267165935E-2</v>
      </c>
      <c r="R62" s="7">
        <f t="shared" si="22"/>
        <v>4.9821916063816016E-3</v>
      </c>
      <c r="S62" s="7">
        <f t="shared" si="23"/>
        <v>3.3785627013095139E-4</v>
      </c>
      <c r="T62" s="7">
        <f t="shared" si="24"/>
        <v>4.0178425472664183E-4</v>
      </c>
      <c r="V62" s="5">
        <f t="shared" si="26"/>
        <v>3.1193675618753053E-2</v>
      </c>
      <c r="X62" s="4">
        <f t="shared" si="27"/>
        <v>0.43008783871857448</v>
      </c>
      <c r="Y62" s="4">
        <f t="shared" si="28"/>
        <v>0.30573907032679692</v>
      </c>
      <c r="Z62" s="4">
        <f t="shared" si="29"/>
        <v>0.12389851693027332</v>
      </c>
      <c r="AA62" s="4">
        <f t="shared" si="30"/>
        <v>7.0022822137986274E-2</v>
      </c>
      <c r="AC62" s="4">
        <f t="shared" si="31"/>
        <v>4.8211435594089642E-2</v>
      </c>
      <c r="AD62" s="4">
        <f t="shared" si="32"/>
        <v>6.478873203490404E-2</v>
      </c>
      <c r="AE62" s="4">
        <f t="shared" si="33"/>
        <v>0.11139385204733612</v>
      </c>
      <c r="AF62" s="4">
        <f t="shared" si="34"/>
        <v>5.4269988583774798E-2</v>
      </c>
      <c r="AH62" s="4">
        <f t="shared" si="35"/>
        <v>3.0814059323765439E-2</v>
      </c>
      <c r="AI62" s="4">
        <f t="shared" si="36"/>
        <v>0.12746108085939981</v>
      </c>
      <c r="AJ62" s="4">
        <f t="shared" si="37"/>
        <v>7.1835683473761458E-2</v>
      </c>
      <c r="AK62" s="4">
        <f t="shared" si="38"/>
        <v>3.4877580010631938E-2</v>
      </c>
      <c r="AM62" s="4">
        <f t="shared" si="39"/>
        <v>7.9025494917855085E-2</v>
      </c>
      <c r="AN62" s="4">
        <f t="shared" si="40"/>
        <v>0.19224981289430385</v>
      </c>
      <c r="AO62" s="4">
        <f t="shared" si="41"/>
        <v>0.18322953552109758</v>
      </c>
      <c r="AP62" s="4">
        <f t="shared" si="42"/>
        <v>8.9147568594406729E-2</v>
      </c>
      <c r="AR62" s="4">
        <f t="shared" si="43"/>
        <v>5.5814244214297465E-4</v>
      </c>
      <c r="AS62" s="4">
        <f t="shared" si="44"/>
        <v>2.7290063238784193E-4</v>
      </c>
      <c r="AT62" s="4">
        <f t="shared" si="45"/>
        <v>2.9759435998083922E-3</v>
      </c>
      <c r="AV62" s="5">
        <f t="shared" si="46"/>
        <v>3.8069866743392091E-3</v>
      </c>
    </row>
    <row r="63" spans="1:48">
      <c r="A63" s="4">
        <v>6000</v>
      </c>
      <c r="B63" s="4">
        <v>4210</v>
      </c>
      <c r="C63" s="4">
        <v>0.29499999999999998</v>
      </c>
      <c r="D63" s="4">
        <v>29.302857142857139</v>
      </c>
      <c r="E63" s="8">
        <v>1.6</v>
      </c>
      <c r="F63" s="4">
        <v>9.9960000000000004</v>
      </c>
      <c r="G63" s="8">
        <v>1.6</v>
      </c>
      <c r="H63" s="4">
        <v>30.926530711160012</v>
      </c>
      <c r="I63" s="8">
        <v>1.6</v>
      </c>
      <c r="K63" s="4">
        <v>91.697866595999997</v>
      </c>
      <c r="L63" s="4">
        <v>15</v>
      </c>
      <c r="M63" s="5">
        <v>8.3021334040000028</v>
      </c>
      <c r="P63" s="7">
        <f t="shared" si="20"/>
        <v>7.3596601315290477E-4</v>
      </c>
      <c r="Q63" s="7">
        <f t="shared" si="21"/>
        <v>2.4858700878010349E-2</v>
      </c>
      <c r="R63" s="7">
        <f t="shared" si="22"/>
        <v>5.0234682996779488E-3</v>
      </c>
      <c r="S63" s="7">
        <f t="shared" si="23"/>
        <v>3.4153537449201586E-4</v>
      </c>
      <c r="T63" s="7">
        <f t="shared" si="24"/>
        <v>4.0618479058179331E-4</v>
      </c>
      <c r="V63" s="5">
        <f t="shared" si="26"/>
        <v>3.1365855355915011E-2</v>
      </c>
      <c r="X63" s="4">
        <f t="shared" si="27"/>
        <v>0.42195523908998567</v>
      </c>
      <c r="Y63" s="4">
        <f t="shared" si="28"/>
        <v>0.30940630050867357</v>
      </c>
      <c r="Z63" s="4">
        <f t="shared" si="29"/>
        <v>0.1281905165449807</v>
      </c>
      <c r="AA63" s="4">
        <f t="shared" si="30"/>
        <v>7.420234276965354E-2</v>
      </c>
      <c r="AC63" s="4">
        <f t="shared" si="31"/>
        <v>4.9173284166856908E-2</v>
      </c>
      <c r="AD63" s="4">
        <f t="shared" si="32"/>
        <v>6.6077192870567597E-2</v>
      </c>
      <c r="AE63" s="4">
        <f t="shared" si="33"/>
        <v>0.11354024205253893</v>
      </c>
      <c r="AF63" s="4">
        <f t="shared" si="34"/>
        <v>5.5359177115318833E-2</v>
      </c>
      <c r="AH63" s="4">
        <f t="shared" si="35"/>
        <v>3.144024812471638E-2</v>
      </c>
      <c r="AI63" s="4">
        <f t="shared" si="36"/>
        <v>0.13084976189872849</v>
      </c>
      <c r="AJ63" s="4">
        <f t="shared" si="37"/>
        <v>7.3260702663314123E-2</v>
      </c>
      <c r="AK63" s="4">
        <f t="shared" si="38"/>
        <v>3.5583040607353511E-2</v>
      </c>
      <c r="AM63" s="4">
        <f t="shared" si="39"/>
        <v>8.0613532291573281E-2</v>
      </c>
      <c r="AN63" s="4">
        <f t="shared" si="40"/>
        <v>0.19692695476929609</v>
      </c>
      <c r="AO63" s="4">
        <f t="shared" si="41"/>
        <v>0.18680094471585307</v>
      </c>
      <c r="AP63" s="4">
        <f t="shared" si="42"/>
        <v>9.0942217722672344E-2</v>
      </c>
      <c r="AR63" s="4">
        <f t="shared" si="43"/>
        <v>5.6935845615089359E-4</v>
      </c>
      <c r="AS63" s="4">
        <f t="shared" si="44"/>
        <v>2.7821986121736821E-4</v>
      </c>
      <c r="AT63" s="4">
        <f t="shared" si="45"/>
        <v>3.0443866141447408E-3</v>
      </c>
      <c r="AV63" s="5">
        <f t="shared" si="46"/>
        <v>3.8919649315130025E-3</v>
      </c>
    </row>
    <row r="64" spans="1:48">
      <c r="A64" s="4">
        <v>6100</v>
      </c>
      <c r="B64" s="4">
        <v>4280</v>
      </c>
      <c r="C64" s="4">
        <v>0.3</v>
      </c>
      <c r="D64" s="4">
        <v>29.599999999999998</v>
      </c>
      <c r="E64" s="8">
        <v>1.6</v>
      </c>
      <c r="F64" s="4">
        <v>10.14</v>
      </c>
      <c r="G64" s="8">
        <v>1.6</v>
      </c>
      <c r="H64" s="4">
        <v>31.365724046703107</v>
      </c>
      <c r="I64" s="8">
        <v>1.6</v>
      </c>
      <c r="K64" s="4">
        <v>91.665603536000006</v>
      </c>
      <c r="L64" s="4">
        <v>15</v>
      </c>
      <c r="M64" s="5">
        <v>8.3343964639999939</v>
      </c>
      <c r="P64" s="7">
        <f t="shared" si="20"/>
        <v>7.3651447840568374E-4</v>
      </c>
      <c r="Q64" s="7">
        <f t="shared" si="21"/>
        <v>2.5041370496177214E-2</v>
      </c>
      <c r="R64" s="7">
        <f t="shared" si="22"/>
        <v>5.0853958642959104E-3</v>
      </c>
      <c r="S64" s="7">
        <f t="shared" si="23"/>
        <v>3.4707572625047167E-4</v>
      </c>
      <c r="T64" s="7">
        <f t="shared" si="24"/>
        <v>4.1281223486246642E-4</v>
      </c>
      <c r="V64" s="5">
        <f t="shared" si="26"/>
        <v>3.1623168799991747E-2</v>
      </c>
      <c r="X64" s="4">
        <f t="shared" si="27"/>
        <v>0.41377246109560273</v>
      </c>
      <c r="Y64" s="4">
        <f t="shared" si="28"/>
        <v>0.31279823970809384</v>
      </c>
      <c r="Z64" s="4">
        <f t="shared" si="29"/>
        <v>0.13245100523266229</v>
      </c>
      <c r="AA64" s="4">
        <f t="shared" si="30"/>
        <v>7.8506850610060575E-2</v>
      </c>
      <c r="AC64" s="4">
        <f t="shared" si="31"/>
        <v>5.0128209873494811E-2</v>
      </c>
      <c r="AD64" s="4">
        <f t="shared" si="32"/>
        <v>6.7355805652814349E-2</v>
      </c>
      <c r="AE64" s="4">
        <f t="shared" si="33"/>
        <v>0.11566686638042514</v>
      </c>
      <c r="AF64" s="4">
        <f t="shared" si="34"/>
        <v>5.6440231882872623E-2</v>
      </c>
      <c r="AH64" s="4">
        <f t="shared" si="35"/>
        <v>3.2062207455019372E-2</v>
      </c>
      <c r="AI64" s="4">
        <f t="shared" si="36"/>
        <v>0.13418916525043481</v>
      </c>
      <c r="AJ64" s="4">
        <f t="shared" si="37"/>
        <v>7.4674531477234643E-2</v>
      </c>
      <c r="AK64" s="4">
        <f t="shared" si="38"/>
        <v>3.6283837581653405E-2</v>
      </c>
      <c r="AM64" s="4">
        <f t="shared" si="39"/>
        <v>8.2190417328514176E-2</v>
      </c>
      <c r="AN64" s="4">
        <f t="shared" si="40"/>
        <v>0.20154497090324916</v>
      </c>
      <c r="AO64" s="4">
        <f t="shared" si="41"/>
        <v>0.1903413978576598</v>
      </c>
      <c r="AP64" s="4">
        <f t="shared" si="42"/>
        <v>9.2724069464526021E-2</v>
      </c>
      <c r="AR64" s="4">
        <f t="shared" si="43"/>
        <v>5.8049570326857087E-4</v>
      </c>
      <c r="AS64" s="4">
        <f t="shared" si="44"/>
        <v>2.8349298434454727E-4</v>
      </c>
      <c r="AT64" s="4">
        <f t="shared" si="45"/>
        <v>3.1120689989056326E-3</v>
      </c>
      <c r="AV64" s="5">
        <f t="shared" si="46"/>
        <v>3.9760576865187514E-3</v>
      </c>
    </row>
    <row r="65" spans="1:48">
      <c r="A65" s="4">
        <v>6200</v>
      </c>
      <c r="B65" s="4">
        <v>4350</v>
      </c>
      <c r="C65" s="4">
        <v>0.30499999999999999</v>
      </c>
      <c r="D65" s="4">
        <v>29.891428571428573</v>
      </c>
      <c r="E65" s="8">
        <v>1.6</v>
      </c>
      <c r="F65" s="4">
        <v>10.283999999999999</v>
      </c>
      <c r="G65" s="8">
        <v>1.6</v>
      </c>
      <c r="H65" s="4">
        <v>31.804917382246209</v>
      </c>
      <c r="I65" s="8">
        <v>1.6</v>
      </c>
      <c r="K65" s="4">
        <v>91.633653207999998</v>
      </c>
      <c r="L65" s="4">
        <v>15</v>
      </c>
      <c r="M65" s="5">
        <v>8.3663467920000016</v>
      </c>
      <c r="P65" s="7">
        <f t="shared" si="20"/>
        <v>7.3702216137503946E-4</v>
      </c>
      <c r="Q65" s="7">
        <f t="shared" si="21"/>
        <v>2.522287325861464E-2</v>
      </c>
      <c r="R65" s="7">
        <f t="shared" si="22"/>
        <v>5.1473370132507782E-3</v>
      </c>
      <c r="S65" s="7">
        <f t="shared" si="23"/>
        <v>3.5264188238667442E-4</v>
      </c>
      <c r="T65" s="7">
        <f t="shared" si="24"/>
        <v>4.194713755710752E-4</v>
      </c>
      <c r="V65" s="5">
        <f t="shared" si="26"/>
        <v>3.1879345691198199E-2</v>
      </c>
      <c r="X65" s="4">
        <f t="shared" si="27"/>
        <v>0.40555804441087584</v>
      </c>
      <c r="Y65" s="4">
        <f t="shared" si="28"/>
        <v>0.31591760887072884</v>
      </c>
      <c r="Z65" s="4">
        <f t="shared" si="29"/>
        <v>0.13667399821150761</v>
      </c>
      <c r="AA65" s="4">
        <f t="shared" si="30"/>
        <v>8.293429574410327E-2</v>
      </c>
      <c r="AC65" s="4">
        <f t="shared" si="31"/>
        <v>5.1075936903205742E-2</v>
      </c>
      <c r="AD65" s="4">
        <f t="shared" si="32"/>
        <v>6.862420152605743E-2</v>
      </c>
      <c r="AE65" s="4">
        <f t="shared" si="33"/>
        <v>0.11777317642973942</v>
      </c>
      <c r="AF65" s="4">
        <f t="shared" si="34"/>
        <v>5.7512834831099965E-2</v>
      </c>
      <c r="AH65" s="4">
        <f t="shared" si="35"/>
        <v>3.2679748839754483E-2</v>
      </c>
      <c r="AI65" s="4">
        <f t="shared" si="36"/>
        <v>0.13747621316577477</v>
      </c>
      <c r="AJ65" s="4">
        <f t="shared" si="37"/>
        <v>7.6076764323809137E-2</v>
      </c>
      <c r="AK65" s="4">
        <f t="shared" si="38"/>
        <v>3.6979761846160947E-2</v>
      </c>
      <c r="AM65" s="4">
        <f t="shared" si="39"/>
        <v>8.3755685742960218E-2</v>
      </c>
      <c r="AN65" s="4">
        <f t="shared" si="40"/>
        <v>0.20610041469183221</v>
      </c>
      <c r="AO65" s="4">
        <f t="shared" si="41"/>
        <v>0.19384994075354856</v>
      </c>
      <c r="AP65" s="4">
        <f t="shared" si="42"/>
        <v>9.4492596677260912E-2</v>
      </c>
      <c r="AR65" s="4">
        <f t="shared" si="43"/>
        <v>5.9155090433192774E-4</v>
      </c>
      <c r="AS65" s="4">
        <f t="shared" si="44"/>
        <v>2.8871858060185846E-4</v>
      </c>
      <c r="AT65" s="4">
        <f t="shared" si="45"/>
        <v>3.178948729367876E-3</v>
      </c>
      <c r="AV65" s="5">
        <f t="shared" si="46"/>
        <v>4.0592182143016622E-3</v>
      </c>
    </row>
    <row r="66" spans="1:48">
      <c r="A66" s="4">
        <v>6300</v>
      </c>
      <c r="B66" s="4">
        <v>4420</v>
      </c>
      <c r="C66" s="4">
        <v>0.31</v>
      </c>
      <c r="D66" s="4">
        <v>30.182857142857141</v>
      </c>
      <c r="E66" s="8">
        <v>1.6</v>
      </c>
      <c r="F66" s="4">
        <v>10.427999999999999</v>
      </c>
      <c r="G66" s="8">
        <v>1.6</v>
      </c>
      <c r="H66" s="4">
        <v>32.244110717789304</v>
      </c>
      <c r="I66" s="8">
        <v>1.6</v>
      </c>
      <c r="K66" s="4">
        <v>91.602009608000003</v>
      </c>
      <c r="L66" s="4">
        <v>15</v>
      </c>
      <c r="M66" s="5">
        <v>8.397990391999997</v>
      </c>
      <c r="P66" s="7">
        <f t="shared" si="20"/>
        <v>7.3749003249846967E-4</v>
      </c>
      <c r="Q66" s="7">
        <f t="shared" si="21"/>
        <v>2.5403222346980052E-2</v>
      </c>
      <c r="R66" s="7">
        <f t="shared" si="22"/>
        <v>5.2092901629059059E-3</v>
      </c>
      <c r="S66" s="7">
        <f t="shared" si="23"/>
        <v>3.5823358799419328E-4</v>
      </c>
      <c r="T66" s="7">
        <f t="shared" si="24"/>
        <v>4.2616191085816026E-4</v>
      </c>
      <c r="V66" s="5">
        <f t="shared" si="26"/>
        <v>3.2134398041236786E-2</v>
      </c>
      <c r="X66" s="4">
        <f t="shared" si="27"/>
        <v>0.39732913674471204</v>
      </c>
      <c r="Y66" s="4">
        <f t="shared" si="28"/>
        <v>0.31876772620114446</v>
      </c>
      <c r="Z66" s="4">
        <f t="shared" si="29"/>
        <v>0.14085377451502834</v>
      </c>
      <c r="AA66" s="4">
        <f t="shared" si="30"/>
        <v>8.7482463940551813E-2</v>
      </c>
      <c r="AC66" s="4">
        <f t="shared" si="31"/>
        <v>5.2016205272662569E-2</v>
      </c>
      <c r="AD66" s="4">
        <f t="shared" si="32"/>
        <v>6.9882034487381062E-2</v>
      </c>
      <c r="AE66" s="4">
        <f t="shared" si="33"/>
        <v>0.11985866656120246</v>
      </c>
      <c r="AF66" s="4">
        <f t="shared" si="34"/>
        <v>5.8576687409044058E-2</v>
      </c>
      <c r="AH66" s="4">
        <f t="shared" si="35"/>
        <v>3.3292694202837793E-2</v>
      </c>
      <c r="AI66" s="4">
        <f t="shared" si="36"/>
        <v>0.14070809568247847</v>
      </c>
      <c r="AJ66" s="4">
        <f t="shared" si="37"/>
        <v>7.7467021589795904E-2</v>
      </c>
      <c r="AK66" s="4">
        <f t="shared" si="38"/>
        <v>3.7670615430010136E-2</v>
      </c>
      <c r="AM66" s="4">
        <f t="shared" si="39"/>
        <v>8.5308899475500355E-2</v>
      </c>
      <c r="AN66" s="4">
        <f t="shared" si="40"/>
        <v>0.21059013016985953</v>
      </c>
      <c r="AO66" s="4">
        <f t="shared" si="41"/>
        <v>0.19732568815099838</v>
      </c>
      <c r="AP66" s="4">
        <f t="shared" si="42"/>
        <v>9.6247302839054194E-2</v>
      </c>
      <c r="AR66" s="4">
        <f t="shared" si="43"/>
        <v>6.0252096540843348E-4</v>
      </c>
      <c r="AS66" s="4">
        <f t="shared" si="44"/>
        <v>2.9389533150114366E-4</v>
      </c>
      <c r="AT66" s="4">
        <f t="shared" si="45"/>
        <v>3.2449871783229341E-3</v>
      </c>
      <c r="AV66" s="5">
        <f t="shared" si="46"/>
        <v>4.1414034752325114E-3</v>
      </c>
    </row>
    <row r="67" spans="1:48">
      <c r="A67" s="4">
        <v>6400</v>
      </c>
      <c r="B67" s="4">
        <v>4490</v>
      </c>
      <c r="C67" s="4">
        <v>0.315</v>
      </c>
      <c r="D67" s="4">
        <v>30.472857142857144</v>
      </c>
      <c r="E67" s="8">
        <v>1.6</v>
      </c>
      <c r="F67" s="4">
        <v>10.571999999999999</v>
      </c>
      <c r="G67" s="8">
        <v>1.6</v>
      </c>
      <c r="H67" s="4">
        <v>32.683304053332407</v>
      </c>
      <c r="I67" s="8">
        <v>1.6</v>
      </c>
      <c r="K67" s="4">
        <v>91.570666903000003</v>
      </c>
      <c r="L67" s="4">
        <v>15</v>
      </c>
      <c r="M67" s="5">
        <v>8.4293330969999971</v>
      </c>
      <c r="P67" s="7">
        <f t="shared" si="20"/>
        <v>7.3791903394430296E-4</v>
      </c>
      <c r="Q67" s="7">
        <f t="shared" si="21"/>
        <v>2.5582430722242963E-2</v>
      </c>
      <c r="R67" s="7">
        <f t="shared" si="22"/>
        <v>5.271253774918324E-3</v>
      </c>
      <c r="S67" s="7">
        <f t="shared" si="23"/>
        <v>3.6385059218185486E-4</v>
      </c>
      <c r="T67" s="7">
        <f t="shared" si="24"/>
        <v>4.3288354357313887E-4</v>
      </c>
      <c r="V67" s="5">
        <f t="shared" si="26"/>
        <v>3.2388337666860584E-2</v>
      </c>
      <c r="X67" s="4">
        <f t="shared" si="27"/>
        <v>0.38910155901987931</v>
      </c>
      <c r="Y67" s="4">
        <f t="shared" si="28"/>
        <v>0.32135245183604999</v>
      </c>
      <c r="Z67" s="4">
        <f t="shared" si="29"/>
        <v>0.14498488337204984</v>
      </c>
      <c r="AA67" s="4">
        <f t="shared" si="30"/>
        <v>9.2148987662954651E-2</v>
      </c>
      <c r="AC67" s="4">
        <f t="shared" si="31"/>
        <v>5.2948770638498337E-2</v>
      </c>
      <c r="AD67" s="4">
        <f t="shared" si="32"/>
        <v>7.1128981025008808E-2</v>
      </c>
      <c r="AE67" s="4">
        <f t="shared" si="33"/>
        <v>0.12192287299028602</v>
      </c>
      <c r="AF67" s="4">
        <f t="shared" si="34"/>
        <v>5.9631510245744528E-2</v>
      </c>
      <c r="AH67" s="4">
        <f t="shared" si="35"/>
        <v>3.3900875744462815E-2</v>
      </c>
      <c r="AI67" s="4">
        <f t="shared" si="36"/>
        <v>0.14388226296762538</v>
      </c>
      <c r="AJ67" s="4">
        <f t="shared" si="37"/>
        <v>7.884494918766026E-2</v>
      </c>
      <c r="AK67" s="4">
        <f t="shared" si="38"/>
        <v>3.835621138055504E-2</v>
      </c>
      <c r="AM67" s="4">
        <f t="shared" si="39"/>
        <v>8.6849646382961151E-2</v>
      </c>
      <c r="AN67" s="4">
        <f t="shared" si="40"/>
        <v>0.21501124399263419</v>
      </c>
      <c r="AO67" s="4">
        <f t="shared" si="41"/>
        <v>0.20076782217794628</v>
      </c>
      <c r="AP67" s="4">
        <f t="shared" si="42"/>
        <v>9.7987721626299568E-2</v>
      </c>
      <c r="AR67" s="4">
        <f t="shared" si="43"/>
        <v>6.1340297560714594E-4</v>
      </c>
      <c r="AS67" s="4">
        <f t="shared" si="44"/>
        <v>2.9902201891017017E-4</v>
      </c>
      <c r="AT67" s="4">
        <f t="shared" si="45"/>
        <v>3.3101490268049373E-3</v>
      </c>
      <c r="AV67" s="5">
        <f t="shared" si="46"/>
        <v>4.2225740213222536E-3</v>
      </c>
    </row>
    <row r="68" spans="1:48">
      <c r="A68" s="4">
        <v>6500</v>
      </c>
      <c r="B68" s="4">
        <v>4560</v>
      </c>
      <c r="C68" s="4">
        <v>0.32</v>
      </c>
      <c r="D68" s="4">
        <v>30.755714285714284</v>
      </c>
      <c r="E68" s="8">
        <v>1.6</v>
      </c>
      <c r="F68" s="4">
        <v>10.715999999999999</v>
      </c>
      <c r="G68" s="8">
        <v>1.6</v>
      </c>
      <c r="H68" s="4">
        <v>33.122497388875516</v>
      </c>
      <c r="I68" s="8">
        <v>1.6</v>
      </c>
      <c r="K68" s="4">
        <v>91.539619423999994</v>
      </c>
      <c r="L68" s="4">
        <v>15</v>
      </c>
      <c r="M68" s="5">
        <v>8.4603805760000057</v>
      </c>
      <c r="P68" s="7">
        <f t="shared" si="20"/>
        <v>7.3831008064204626E-4</v>
      </c>
      <c r="Q68" s="7">
        <f t="shared" si="21"/>
        <v>2.5760511132678493E-2</v>
      </c>
      <c r="R68" s="7">
        <f t="shared" si="22"/>
        <v>5.3332263558854877E-3</v>
      </c>
      <c r="S68" s="7">
        <f t="shared" si="23"/>
        <v>3.6949264808693949E-4</v>
      </c>
      <c r="T68" s="7">
        <f t="shared" si="24"/>
        <v>4.3963598128321908E-4</v>
      </c>
      <c r="V68" s="5">
        <f t="shared" ref="V68:V103" si="47">SUM(P68:T68)</f>
        <v>3.2641176198576191E-2</v>
      </c>
      <c r="X68" s="4">
        <f t="shared" ref="X68:X103" si="48">(1-LOGNORMDIST(5,LN(F69),LN(G68)))-(1-LOGNORMDIST(10,LN(F69),LN(G68)))</f>
        <v>0.38088987037194388</v>
      </c>
      <c r="Y68" s="4">
        <f t="shared" ref="Y68:Y103" si="49">(1-LOGNORMDIST(10,LN(F69),LN(G68)))-(1-LOGNORMDIST(15,LN(F69),LN(G68)))</f>
        <v>0.32367613476050083</v>
      </c>
      <c r="Z68" s="4">
        <f t="shared" ref="Z68:Z103" si="50">(1-LOGNORMDIST(15,LN(F69),LN(G68)))-(1-LOGNORMDIST(20,LN(F69),LN(G68)))</f>
        <v>0.14906214891436509</v>
      </c>
      <c r="AA68" s="4">
        <f t="shared" ref="AA68:AA103" si="51">1-LOGNORMDIST(20,LN(F69),LN(G68))</f>
        <v>9.6931357037491672E-2</v>
      </c>
      <c r="AC68" s="4">
        <f t="shared" ref="AC68:AC103" si="52">((X68*0.021)+(Y68*0.063)+(Z68*0.107)+(AA68*0.13))/(((X68*0.021)+(Y68*0.063)+(Z68*0.107)+(AA68*0.13))+1)</f>
        <v>5.3873404070261866E-2</v>
      </c>
      <c r="AD68" s="4">
        <f t="shared" ref="AD68:AD103" si="53">((X68*0.028)+(Y68*0.086)+(Z68*0.148)+(AA68*0.18))/(((X68*0.028)+(Y68*0.086)+(Z68*0.148)+(AA68*0.18))+1)</f>
        <v>7.2364739704581918E-2</v>
      </c>
      <c r="AE68" s="4">
        <f t="shared" ref="AE68:AE103" si="54">((X68*0.049)+(Y68*0.155)+(Z68*0.271)+(AA68*0.333))/(((X68*0.049)+(Y68*0.155)+(Z68*0.271)+(AA68*0.333))+1)</f>
        <v>0.12396537260783856</v>
      </c>
      <c r="AF68" s="4">
        <f t="shared" ref="AF68:AF103" si="55">((X68*0.023)+(Y68*0.072)+(Z68*0.122)+(AA68*0.148))/(((X68*0.023)+(Y68*0.072)+(Z68*0.122)+(AA68*0.148))+1)</f>
        <v>6.0677042783836697E-2</v>
      </c>
      <c r="AH68" s="4">
        <f t="shared" ref="AH68:AH103" si="56">((X68*0.013)+(Y68*0.04)+(Z68*0.067)+(AA68*0.081))/(((X68*0.013)+(Y68*0.04)+(Z68*0.067)+(AA68*0.081))+1)</f>
        <v>3.4504135793513697E-2</v>
      </c>
      <c r="AI68" s="4">
        <f t="shared" ref="AI68:AI103" si="57">((X68*0.018)+(Y68*0.054)+(Z68*0.92)+(AA68*0.112))/(((X68*0.018)+(Y68*0.054)+(Z68*0.92)+(AA68*0.112))+1)</f>
        <v>0.14699641678528894</v>
      </c>
      <c r="AJ68" s="4">
        <f t="shared" ref="AJ68:AJ103" si="58">((X68*0.031)+(Y68*0.096)+(Z68*0.166)+(AA68*0.202))/(((X68*0.031)+(Y68*0.096)+(Z68*0.166)+(AA68*0.202))+1)</f>
        <v>8.0210218045821E-2</v>
      </c>
      <c r="AK68" s="4">
        <f t="shared" ref="AK68:AK103" si="59">((X68*0.015)+(Y68*0.045)+(Z68*0.076)+(AA68*0.093))/(((X68*0.015)+(Y68*0.045)+(Z68*0.076)+(AA68*0.093))+1)</f>
        <v>3.9036373635784348E-2</v>
      </c>
      <c r="AM68" s="4">
        <f t="shared" ref="AM68:AM103" si="60">AC68+AH68</f>
        <v>8.8377539863775556E-2</v>
      </c>
      <c r="AN68" s="4">
        <f t="shared" ref="AN68:AN103" si="61">AD68+AI68</f>
        <v>0.21936115648987087</v>
      </c>
      <c r="AO68" s="4">
        <f t="shared" ref="AO68:AO103" si="62">AE68+AJ68</f>
        <v>0.20417559065365956</v>
      </c>
      <c r="AP68" s="4">
        <f t="shared" ref="AP68:AP103" si="63">AF68+AK68</f>
        <v>9.9713416419621045E-2</v>
      </c>
      <c r="AR68" s="4">
        <f t="shared" ref="AR68:AR103" si="64">(351021.9/49700000)*AM68</f>
        <v>6.2419420443276142E-4</v>
      </c>
      <c r="AS68" s="4">
        <f t="shared" ref="AS68:AS103" si="65">(74022.79/49700000)*AO68</f>
        <v>3.0409752253685718E-4</v>
      </c>
      <c r="AT68" s="4">
        <f t="shared" ref="AT68:AT103" si="66">((950651.56-74022.79-351021.9)/49700000)*(AN68+AP68)</f>
        <v>3.3744021642564351E-3</v>
      </c>
      <c r="AV68" s="5">
        <f t="shared" ref="AV68:AV103" si="67">AT68+AS68+AR68</f>
        <v>4.3026938912260537E-3</v>
      </c>
    </row>
    <row r="69" spans="1:48">
      <c r="A69" s="4">
        <v>6600</v>
      </c>
      <c r="B69" s="4">
        <v>4630</v>
      </c>
      <c r="C69" s="4">
        <v>0.32500000000000001</v>
      </c>
      <c r="D69" s="4">
        <v>31.041428571428572</v>
      </c>
      <c r="E69" s="8">
        <v>1.6</v>
      </c>
      <c r="F69" s="4">
        <v>10.86</v>
      </c>
      <c r="G69" s="8">
        <v>1.6</v>
      </c>
      <c r="H69" s="4">
        <v>33.561690724418618</v>
      </c>
      <c r="I69" s="8">
        <v>1.6</v>
      </c>
      <c r="K69" s="4">
        <v>91.508861660999997</v>
      </c>
      <c r="L69" s="4">
        <v>15</v>
      </c>
      <c r="M69" s="5">
        <v>8.4911383390000026</v>
      </c>
      <c r="P69" s="7">
        <f t="shared" ref="P69:P103" si="68">(2.1*(_xlfn.NORM.DIST((85+M69),$K69,$L69,TRUE)-_xlfn.NORM.DIST((70+M69),$K69,$L69,TRUE)-(_xlfn.NORM.DIST((85),$K69,$L69,TRUE)-_xlfn.NORM.DIST((70),$K69,$L69,TRUE))))*0.0034</f>
        <v>7.3866406124560059E-4</v>
      </c>
      <c r="Q69" s="7">
        <f t="shared" ref="Q69:Q103" si="69">(2.1*(_xlfn.NORM.DIST((69+$M69),$K69,$L69,TRUE)-_xlfn.NORM.DIST((50+$M69),$K69,$L69,TRUE)-(_xlfn.NORM.DIST(69,$K69,$L69,TRUE)-_xlfn.NORM.DIST(50,$K69,$L69,TRUE))))*0.127</f>
        <v>2.5937476112010333E-2</v>
      </c>
      <c r="R69" s="7">
        <f t="shared" ref="R69:R103" si="70">(2.1*(_xlfn.NORM.DIST((49+$M69),$K69,$L69,TRUE)-_xlfn.NORM.DIST((35+$M69),$K69,$L69,TRUE)-(_xlfn.NORM.DIST(49,$K69,$L69,TRUE)-_xlfn.NORM.DIST(35,$K69,$L69,TRUE))))*0.293</f>
        <v>5.3952064536738802E-3</v>
      </c>
      <c r="S69" s="7">
        <f t="shared" ref="S69:S103" si="71">(2.1*(_xlfn.NORM.DIST((34+$M69),$K69,$L69,TRUE)-_xlfn.NORM.DIST((20+$M69),$K69,$L69,TRUE)-(_xlfn.NORM.DIST(34,$K69,$L69,TRUE)-_xlfn.NORM.DIST(20,$K69,$L69,TRUE))))*0.383</f>
        <v>3.7515951258428179E-4</v>
      </c>
      <c r="T69" s="7">
        <f t="shared" ref="T69:T103" si="72">(2.1*(_xlfn.NORM.DIST((34+$M69),$K69,$L69,TRUE)-(_xlfn.NORM.DIST(34,$K69,$L69,TRUE))))*0.444</f>
        <v>4.4641893592828769E-4</v>
      </c>
      <c r="V69" s="5">
        <f t="shared" si="47"/>
        <v>3.2892925075442385E-2</v>
      </c>
      <c r="X69" s="4">
        <f t="shared" si="48"/>
        <v>0.37270743251938931</v>
      </c>
      <c r="Y69" s="4">
        <f t="shared" si="49"/>
        <v>0.32574356206799382</v>
      </c>
      <c r="Z69" s="4">
        <f t="shared" si="50"/>
        <v>0.15308067333326614</v>
      </c>
      <c r="AA69" s="4">
        <f t="shared" si="51"/>
        <v>0.10182693072883708</v>
      </c>
      <c r="AC69" s="4">
        <f t="shared" si="52"/>
        <v>5.4789891787846094E-2</v>
      </c>
      <c r="AD69" s="4">
        <f t="shared" si="53"/>
        <v>7.3589030709301353E-2</v>
      </c>
      <c r="AE69" s="4">
        <f t="shared" si="54"/>
        <v>0.12598578174059274</v>
      </c>
      <c r="AF69" s="4">
        <f t="shared" si="55"/>
        <v>6.171304287614604E-2</v>
      </c>
      <c r="AH69" s="4">
        <f t="shared" si="56"/>
        <v>3.5102326637498273E-2</v>
      </c>
      <c r="AI69" s="4">
        <f t="shared" si="57"/>
        <v>0.15004850126554165</v>
      </c>
      <c r="AJ69" s="4">
        <f t="shared" si="58"/>
        <v>8.1562523548894622E-2</v>
      </c>
      <c r="AK69" s="4">
        <f t="shared" si="59"/>
        <v>3.9710936870167898E-2</v>
      </c>
      <c r="AM69" s="4">
        <f t="shared" si="60"/>
        <v>8.9892218425344367E-2</v>
      </c>
      <c r="AN69" s="4">
        <f t="shared" si="61"/>
        <v>0.22363753197484298</v>
      </c>
      <c r="AO69" s="4">
        <f t="shared" si="62"/>
        <v>0.20754830528948737</v>
      </c>
      <c r="AP69" s="4">
        <f t="shared" si="63"/>
        <v>0.10142397974631394</v>
      </c>
      <c r="AR69" s="4">
        <f t="shared" si="64"/>
        <v>6.3489209872996763E-4</v>
      </c>
      <c r="AS69" s="4">
        <f t="shared" si="65"/>
        <v>3.0912081724948913E-4</v>
      </c>
      <c r="AT69" s="4">
        <f t="shared" si="66"/>
        <v>3.4377175801453843E-3</v>
      </c>
      <c r="AV69" s="5">
        <f t="shared" si="67"/>
        <v>4.3817304961248412E-3</v>
      </c>
    </row>
    <row r="70" spans="1:48">
      <c r="A70" s="4">
        <v>6700</v>
      </c>
      <c r="B70" s="4">
        <v>4700</v>
      </c>
      <c r="C70" s="4">
        <v>0.33</v>
      </c>
      <c r="D70" s="4">
        <v>31.318571428571424</v>
      </c>
      <c r="E70" s="8">
        <v>1.6</v>
      </c>
      <c r="F70" s="4">
        <v>11.004</v>
      </c>
      <c r="G70" s="8">
        <v>1.6</v>
      </c>
      <c r="H70" s="4">
        <v>34.000884059961706</v>
      </c>
      <c r="I70" s="8">
        <v>1.6</v>
      </c>
      <c r="K70" s="4">
        <v>91.478388257999995</v>
      </c>
      <c r="L70" s="4">
        <v>15</v>
      </c>
      <c r="M70" s="5">
        <v>8.5216117420000046</v>
      </c>
      <c r="P70" s="7">
        <f t="shared" si="68"/>
        <v>7.3898183906417675E-4</v>
      </c>
      <c r="Q70" s="7">
        <f t="shared" si="69"/>
        <v>2.6113337978958821E-2</v>
      </c>
      <c r="R70" s="7">
        <f t="shared" si="70"/>
        <v>5.4571926542533958E-3</v>
      </c>
      <c r="S70" s="7">
        <f t="shared" si="71"/>
        <v>3.8085094603410242E-4</v>
      </c>
      <c r="T70" s="7">
        <f t="shared" si="72"/>
        <v>4.5323212352188529E-4</v>
      </c>
      <c r="V70" s="5">
        <f t="shared" si="47"/>
        <v>3.3143595541832375E-2</v>
      </c>
      <c r="X70" s="4">
        <f t="shared" si="48"/>
        <v>0.36456647313330071</v>
      </c>
      <c r="Y70" s="4">
        <f t="shared" si="49"/>
        <v>0.32755991063341516</v>
      </c>
      <c r="Z70" s="4">
        <f t="shared" si="50"/>
        <v>0.15703583860429016</v>
      </c>
      <c r="AA70" s="4">
        <f t="shared" si="51"/>
        <v>0.10683294668016607</v>
      </c>
      <c r="AC70" s="4">
        <f t="shared" si="52"/>
        <v>5.5698034867334732E-2</v>
      </c>
      <c r="AD70" s="4">
        <f t="shared" si="53"/>
        <v>7.4801595339807389E-2</v>
      </c>
      <c r="AE70" s="4">
        <f t="shared" si="54"/>
        <v>0.12798375486292513</v>
      </c>
      <c r="AF70" s="4">
        <f t="shared" si="55"/>
        <v>6.2739286350125614E-2</v>
      </c>
      <c r="AH70" s="4">
        <f t="shared" si="56"/>
        <v>3.5695310332500813E-2</v>
      </c>
      <c r="AI70" s="4">
        <f t="shared" si="57"/>
        <v>0.15303669313517104</v>
      </c>
      <c r="AJ70" s="4">
        <f t="shared" si="58"/>
        <v>8.2901584934680736E-2</v>
      </c>
      <c r="AK70" s="4">
        <f t="shared" si="59"/>
        <v>4.0379746316645683E-2</v>
      </c>
      <c r="AM70" s="4">
        <f t="shared" si="60"/>
        <v>9.1393345199835552E-2</v>
      </c>
      <c r="AN70" s="4">
        <f t="shared" si="61"/>
        <v>0.22783828847497845</v>
      </c>
      <c r="AO70" s="4">
        <f t="shared" si="62"/>
        <v>0.21088533979760588</v>
      </c>
      <c r="AP70" s="4">
        <f t="shared" si="63"/>
        <v>0.1031190326667713</v>
      </c>
      <c r="AR70" s="4">
        <f t="shared" si="64"/>
        <v>6.4549427926362496E-4</v>
      </c>
      <c r="AS70" s="4">
        <f t="shared" si="65"/>
        <v>3.1409097025989575E-4</v>
      </c>
      <c r="AT70" s="4">
        <f t="shared" si="66"/>
        <v>3.5000692488712255E-3</v>
      </c>
      <c r="AV70" s="5">
        <f t="shared" si="67"/>
        <v>4.459654498394746E-3</v>
      </c>
    </row>
    <row r="71" spans="1:48">
      <c r="A71" s="4">
        <v>6800</v>
      </c>
      <c r="B71" s="4">
        <v>4770</v>
      </c>
      <c r="C71" s="4">
        <v>0.33500000000000002</v>
      </c>
      <c r="D71" s="4">
        <v>31.6</v>
      </c>
      <c r="E71" s="8">
        <v>1.6</v>
      </c>
      <c r="F71" s="4">
        <v>11.147999999999998</v>
      </c>
      <c r="G71" s="8">
        <v>1.6</v>
      </c>
      <c r="H71" s="4">
        <v>34.440077395504815</v>
      </c>
      <c r="I71" s="8">
        <v>1.6</v>
      </c>
      <c r="K71" s="4">
        <v>91.458228055000006</v>
      </c>
      <c r="L71" s="4">
        <v>15</v>
      </c>
      <c r="M71" s="5">
        <v>8.5417719449999936</v>
      </c>
      <c r="P71" s="7">
        <f t="shared" si="68"/>
        <v>7.3917399353105949E-4</v>
      </c>
      <c r="Q71" s="7">
        <f t="shared" si="69"/>
        <v>2.6229972378054495E-2</v>
      </c>
      <c r="R71" s="7">
        <f t="shared" si="70"/>
        <v>5.4985194991991363E-3</v>
      </c>
      <c r="S71" s="7">
        <f t="shared" si="71"/>
        <v>3.8465876783839428E-4</v>
      </c>
      <c r="T71" s="7">
        <f t="shared" si="72"/>
        <v>4.5779090649033979E-4</v>
      </c>
      <c r="V71" s="5">
        <f t="shared" si="47"/>
        <v>3.3310115545113421E-2</v>
      </c>
      <c r="X71" s="4">
        <f t="shared" si="48"/>
        <v>0.35647814790148458</v>
      </c>
      <c r="Y71" s="4">
        <f t="shared" si="49"/>
        <v>0.329130701239848</v>
      </c>
      <c r="Z71" s="4">
        <f t="shared" si="50"/>
        <v>0.16092330689684198</v>
      </c>
      <c r="AA71" s="4">
        <f t="shared" si="51"/>
        <v>0.11194653267829324</v>
      </c>
      <c r="AC71" s="4">
        <f t="shared" si="52"/>
        <v>5.6597648919104016E-2</v>
      </c>
      <c r="AD71" s="4">
        <f t="shared" si="53"/>
        <v>7.6002195479435819E-2</v>
      </c>
      <c r="AE71" s="4">
        <f t="shared" si="54"/>
        <v>0.12995898327051172</v>
      </c>
      <c r="AF71" s="4">
        <f t="shared" si="55"/>
        <v>6.3755566544775308E-2</v>
      </c>
      <c r="AH71" s="4">
        <f t="shared" si="56"/>
        <v>3.6282958495579096E-2</v>
      </c>
      <c r="AI71" s="4">
        <f t="shared" si="57"/>
        <v>0.15595939155445601</v>
      </c>
      <c r="AJ71" s="4">
        <f t="shared" si="58"/>
        <v>8.4227144654331731E-2</v>
      </c>
      <c r="AK71" s="4">
        <f t="shared" si="59"/>
        <v>4.104265756741228E-2</v>
      </c>
      <c r="AM71" s="4">
        <f t="shared" si="60"/>
        <v>9.2880607414683111E-2</v>
      </c>
      <c r="AN71" s="4">
        <f t="shared" si="61"/>
        <v>0.23196158703389183</v>
      </c>
      <c r="AO71" s="4">
        <f t="shared" si="62"/>
        <v>0.21418612792484346</v>
      </c>
      <c r="AP71" s="4">
        <f t="shared" si="63"/>
        <v>0.10479822411218759</v>
      </c>
      <c r="AR71" s="4">
        <f t="shared" si="64"/>
        <v>6.5599853697899716E-4</v>
      </c>
      <c r="AS71" s="4">
        <f t="shared" si="65"/>
        <v>3.1900713819504666E-4</v>
      </c>
      <c r="AT71" s="4">
        <f t="shared" si="66"/>
        <v>3.5614340096233785E-3</v>
      </c>
      <c r="AV71" s="5">
        <f t="shared" si="67"/>
        <v>4.5364396847974225E-3</v>
      </c>
    </row>
    <row r="72" spans="1:48">
      <c r="A72" s="4">
        <v>6900</v>
      </c>
      <c r="B72" s="4">
        <v>4840</v>
      </c>
      <c r="C72" s="4">
        <v>0.34</v>
      </c>
      <c r="D72" s="4">
        <v>31.874285714285708</v>
      </c>
      <c r="E72" s="8">
        <v>1.6</v>
      </c>
      <c r="F72" s="4">
        <v>11.292</v>
      </c>
      <c r="G72" s="8">
        <v>1.6</v>
      </c>
      <c r="H72" s="4">
        <v>34.879270731047917</v>
      </c>
      <c r="I72" s="8">
        <v>1.6</v>
      </c>
      <c r="K72" s="4">
        <v>91.428217076999999</v>
      </c>
      <c r="L72" s="4">
        <v>15</v>
      </c>
      <c r="M72" s="5">
        <v>8.5717829230000007</v>
      </c>
      <c r="P72" s="7">
        <f t="shared" si="68"/>
        <v>7.3943328590267161E-4</v>
      </c>
      <c r="Q72" s="7">
        <f t="shared" si="69"/>
        <v>2.6404022568379686E-2</v>
      </c>
      <c r="R72" s="7">
        <f t="shared" si="70"/>
        <v>5.56051284184587E-3</v>
      </c>
      <c r="S72" s="7">
        <f t="shared" si="71"/>
        <v>3.9039062746849189E-4</v>
      </c>
      <c r="T72" s="7">
        <f t="shared" si="72"/>
        <v>4.6465386351157739E-4</v>
      </c>
      <c r="V72" s="5">
        <f t="shared" si="47"/>
        <v>3.3559013187108293E-2</v>
      </c>
      <c r="X72" s="4">
        <f t="shared" si="48"/>
        <v>0.34845260104009668</v>
      </c>
      <c r="Y72" s="4">
        <f t="shared" si="49"/>
        <v>0.33046175517599163</v>
      </c>
      <c r="Z72" s="4">
        <f t="shared" si="50"/>
        <v>0.16473901978200345</v>
      </c>
      <c r="AA72" s="4">
        <f t="shared" si="51"/>
        <v>0.11716471670951756</v>
      </c>
      <c r="AC72" s="4">
        <f t="shared" si="52"/>
        <v>5.7488563741867366E-2</v>
      </c>
      <c r="AD72" s="4">
        <f t="shared" si="53"/>
        <v>7.7190613030207619E-2</v>
      </c>
      <c r="AE72" s="4">
        <f t="shared" si="54"/>
        <v>0.13191119372574955</v>
      </c>
      <c r="AF72" s="4">
        <f t="shared" si="55"/>
        <v>6.4761693824438304E-2</v>
      </c>
      <c r="AH72" s="4">
        <f t="shared" si="56"/>
        <v>3.6865152081931231E-2</v>
      </c>
      <c r="AI72" s="4">
        <f t="shared" si="57"/>
        <v>0.15881520768880689</v>
      </c>
      <c r="AJ72" s="4">
        <f t="shared" si="58"/>
        <v>8.5538967701801111E-2</v>
      </c>
      <c r="AK72" s="4">
        <f t="shared" si="59"/>
        <v>4.1699536356062321E-2</v>
      </c>
      <c r="AM72" s="4">
        <f t="shared" si="60"/>
        <v>9.435371582379859E-2</v>
      </c>
      <c r="AN72" s="4">
        <f t="shared" si="61"/>
        <v>0.23600582071901449</v>
      </c>
      <c r="AO72" s="4">
        <f t="shared" si="62"/>
        <v>0.21745016142755066</v>
      </c>
      <c r="AP72" s="4">
        <f t="shared" si="63"/>
        <v>0.10646123018050063</v>
      </c>
      <c r="AR72" s="4">
        <f t="shared" si="64"/>
        <v>6.6640282898450406E-4</v>
      </c>
      <c r="AS72" s="4">
        <f t="shared" si="65"/>
        <v>3.2386856408083862E-4</v>
      </c>
      <c r="AT72" s="4">
        <f t="shared" si="66"/>
        <v>3.6217914426846039E-3</v>
      </c>
      <c r="AV72" s="5">
        <f t="shared" si="67"/>
        <v>4.6120628357499468E-3</v>
      </c>
    </row>
    <row r="73" spans="1:48">
      <c r="A73" s="4">
        <v>7000</v>
      </c>
      <c r="B73" s="4">
        <v>4910</v>
      </c>
      <c r="C73" s="4">
        <v>0.34499999999999997</v>
      </c>
      <c r="D73" s="4">
        <v>32.151428571428575</v>
      </c>
      <c r="E73" s="8">
        <v>1.6</v>
      </c>
      <c r="F73" s="4">
        <v>11.436</v>
      </c>
      <c r="G73" s="8">
        <v>1.6</v>
      </c>
      <c r="H73" s="4">
        <v>35.318464066591019</v>
      </c>
      <c r="I73" s="8">
        <v>1.6</v>
      </c>
      <c r="K73" s="4">
        <v>91.398476877999997</v>
      </c>
      <c r="L73" s="4">
        <v>15</v>
      </c>
      <c r="M73" s="5">
        <v>8.6015231220000032</v>
      </c>
      <c r="P73" s="7">
        <f t="shared" si="68"/>
        <v>7.3965856054292883E-4</v>
      </c>
      <c r="Q73" s="7">
        <f t="shared" si="69"/>
        <v>2.65770015332869E-2</v>
      </c>
      <c r="R73" s="7">
        <f t="shared" si="70"/>
        <v>5.6225087122047006E-3</v>
      </c>
      <c r="S73" s="7">
        <f t="shared" si="71"/>
        <v>3.9614643519076829E-4</v>
      </c>
      <c r="T73" s="7">
        <f t="shared" si="72"/>
        <v>4.7154631748471114E-4</v>
      </c>
      <c r="V73" s="5">
        <f t="shared" si="47"/>
        <v>3.3806861558710002E-2</v>
      </c>
      <c r="X73" s="4">
        <f t="shared" si="48"/>
        <v>0.34049902405659216</v>
      </c>
      <c r="Y73" s="4">
        <f t="shared" si="49"/>
        <v>0.33155915330003816</v>
      </c>
      <c r="Z73" s="4">
        <f t="shared" si="50"/>
        <v>0.16847919634797404</v>
      </c>
      <c r="AA73" s="4">
        <f t="shared" si="51"/>
        <v>0.12248443707608925</v>
      </c>
      <c r="AC73" s="4">
        <f t="shared" si="52"/>
        <v>5.8370622956176413E-2</v>
      </c>
      <c r="AD73" s="4">
        <f t="shared" si="53"/>
        <v>7.836664932460094E-2</v>
      </c>
      <c r="AE73" s="4">
        <f t="shared" si="54"/>
        <v>0.133840147084027</v>
      </c>
      <c r="AF73" s="4">
        <f t="shared" si="55"/>
        <v>6.5757495073608008E-2</v>
      </c>
      <c r="AH73" s="4">
        <f t="shared" si="56"/>
        <v>3.7441781149044374E-2</v>
      </c>
      <c r="AI73" s="4">
        <f t="shared" si="57"/>
        <v>0.16160295412919248</v>
      </c>
      <c r="AJ73" s="4">
        <f t="shared" si="58"/>
        <v>8.6836840918289776E-2</v>
      </c>
      <c r="AK73" s="4">
        <f t="shared" si="59"/>
        <v>4.235025832355456E-2</v>
      </c>
      <c r="AM73" s="4">
        <f t="shared" si="60"/>
        <v>9.5812404105220794E-2</v>
      </c>
      <c r="AN73" s="4">
        <f t="shared" si="61"/>
        <v>0.23996960345379342</v>
      </c>
      <c r="AO73" s="4">
        <f t="shared" si="62"/>
        <v>0.22067698800231678</v>
      </c>
      <c r="AP73" s="4">
        <f t="shared" si="63"/>
        <v>0.10810775339716257</v>
      </c>
      <c r="AR73" s="4">
        <f t="shared" si="64"/>
        <v>6.7670527429743274E-4</v>
      </c>
      <c r="AS73" s="4">
        <f t="shared" si="65"/>
        <v>3.2867457426012095E-4</v>
      </c>
      <c r="AT73" s="4">
        <f t="shared" si="66"/>
        <v>3.6811237435071232E-3</v>
      </c>
      <c r="AV73" s="5">
        <f t="shared" si="67"/>
        <v>4.6865035920646766E-3</v>
      </c>
    </row>
    <row r="74" spans="1:48">
      <c r="A74" s="4">
        <v>7100</v>
      </c>
      <c r="B74" s="4">
        <v>4980</v>
      </c>
      <c r="C74" s="4">
        <v>0.35</v>
      </c>
      <c r="D74" s="4">
        <v>32.42285714285714</v>
      </c>
      <c r="E74" s="8">
        <v>1.6</v>
      </c>
      <c r="F74" s="4">
        <v>11.58</v>
      </c>
      <c r="G74" s="8">
        <v>1.6</v>
      </c>
      <c r="H74" s="4">
        <v>35.757657402134114</v>
      </c>
      <c r="I74" s="8">
        <v>1.6</v>
      </c>
      <c r="K74" s="4">
        <v>91.378798114999995</v>
      </c>
      <c r="L74" s="4">
        <v>15</v>
      </c>
      <c r="M74" s="5">
        <v>8.6212018850000049</v>
      </c>
      <c r="P74" s="7">
        <f t="shared" si="68"/>
        <v>7.3979022989703266E-4</v>
      </c>
      <c r="Q74" s="7">
        <f t="shared" si="69"/>
        <v>2.6691731451452913E-2</v>
      </c>
      <c r="R74" s="7">
        <f t="shared" si="70"/>
        <v>5.6638400652663269E-3</v>
      </c>
      <c r="S74" s="7">
        <f t="shared" si="71"/>
        <v>3.999968327497645E-4</v>
      </c>
      <c r="T74" s="7">
        <f t="shared" si="72"/>
        <v>4.7615754108050131E-4</v>
      </c>
      <c r="V74" s="5">
        <f t="shared" si="47"/>
        <v>3.3971516120446542E-2</v>
      </c>
      <c r="X74" s="4">
        <f t="shared" si="48"/>
        <v>0.33262571261190099</v>
      </c>
      <c r="Y74" s="4">
        <f t="shared" si="49"/>
        <v>0.33242919754800793</v>
      </c>
      <c r="Z74" s="4">
        <f t="shared" si="50"/>
        <v>0.17214033032828568</v>
      </c>
      <c r="AA74" s="4">
        <f t="shared" si="51"/>
        <v>0.12790255224728597</v>
      </c>
      <c r="AC74" s="4">
        <f t="shared" si="52"/>
        <v>5.924368362069616E-2</v>
      </c>
      <c r="AD74" s="4">
        <f t="shared" si="53"/>
        <v>7.9530124517824846E-2</v>
      </c>
      <c r="AE74" s="4">
        <f t="shared" si="54"/>
        <v>0.13574563690913077</v>
      </c>
      <c r="AF74" s="4">
        <f t="shared" si="55"/>
        <v>6.6742813176599289E-2</v>
      </c>
      <c r="AH74" s="4">
        <f t="shared" si="56"/>
        <v>3.8012744609911803E-2</v>
      </c>
      <c r="AI74" s="4">
        <f t="shared" si="57"/>
        <v>0.16432163426116991</v>
      </c>
      <c r="AJ74" s="4">
        <f t="shared" si="58"/>
        <v>8.8120572277015349E-2</v>
      </c>
      <c r="AK74" s="4">
        <f t="shared" si="59"/>
        <v>4.2994708770328766E-2</v>
      </c>
      <c r="AM74" s="4">
        <f t="shared" si="60"/>
        <v>9.7256428230607955E-2</v>
      </c>
      <c r="AN74" s="4">
        <f t="shared" si="61"/>
        <v>0.24385175877899476</v>
      </c>
      <c r="AO74" s="4">
        <f t="shared" si="62"/>
        <v>0.22386620918614614</v>
      </c>
      <c r="AP74" s="4">
        <f t="shared" si="63"/>
        <v>0.10973752194692805</v>
      </c>
      <c r="AR74" s="4">
        <f t="shared" si="64"/>
        <v>6.8690414939077764E-4</v>
      </c>
      <c r="AS74" s="4">
        <f t="shared" si="65"/>
        <v>3.3342457526523467E-4</v>
      </c>
      <c r="AT74" s="4">
        <f t="shared" si="66"/>
        <v>3.7394155957324671E-3</v>
      </c>
      <c r="AV74" s="5">
        <f t="shared" si="67"/>
        <v>4.7597443203884794E-3</v>
      </c>
    </row>
    <row r="75" spans="1:48">
      <c r="A75" s="4">
        <v>7200</v>
      </c>
      <c r="B75" s="4">
        <v>5050</v>
      </c>
      <c r="C75" s="4">
        <v>0.35499999999999998</v>
      </c>
      <c r="D75" s="4">
        <v>32.692857142857143</v>
      </c>
      <c r="E75" s="8">
        <v>1.6</v>
      </c>
      <c r="F75" s="4">
        <v>11.724</v>
      </c>
      <c r="G75" s="8">
        <v>1.6</v>
      </c>
      <c r="H75" s="4">
        <v>36.196850737677217</v>
      </c>
      <c r="I75" s="8">
        <v>1.6</v>
      </c>
      <c r="K75" s="4">
        <v>91.349498518000004</v>
      </c>
      <c r="L75" s="4">
        <v>15</v>
      </c>
      <c r="M75" s="5">
        <v>8.6505014819999957</v>
      </c>
      <c r="P75" s="7">
        <f t="shared" si="68"/>
        <v>7.3996052618408611E-4</v>
      </c>
      <c r="Q75" s="7">
        <f t="shared" si="69"/>
        <v>2.6862950714094974E-2</v>
      </c>
      <c r="R75" s="7">
        <f t="shared" si="70"/>
        <v>5.7258373309867277E-3</v>
      </c>
      <c r="S75" s="7">
        <f t="shared" si="71"/>
        <v>4.057920518831302E-4</v>
      </c>
      <c r="T75" s="7">
        <f t="shared" si="72"/>
        <v>4.8309856122351569E-4</v>
      </c>
      <c r="V75" s="5">
        <f t="shared" si="47"/>
        <v>3.4217639184372435E-2</v>
      </c>
      <c r="X75" s="4">
        <f t="shared" si="48"/>
        <v>0.32484012136788742</v>
      </c>
      <c r="Y75" s="4">
        <f t="shared" si="49"/>
        <v>0.33307837484943648</v>
      </c>
      <c r="Z75" s="4">
        <f t="shared" si="50"/>
        <v>0.1757191863433285</v>
      </c>
      <c r="AA75" s="4">
        <f t="shared" si="51"/>
        <v>0.13341585042289728</v>
      </c>
      <c r="AC75" s="4">
        <f t="shared" si="52"/>
        <v>6.0107615834365268E-2</v>
      </c>
      <c r="AD75" s="4">
        <f t="shared" si="53"/>
        <v>8.0680876964975168E-2</v>
      </c>
      <c r="AE75" s="4">
        <f t="shared" si="54"/>
        <v>0.13762748808529568</v>
      </c>
      <c r="AF75" s="4">
        <f t="shared" si="55"/>
        <v>6.7717506485655984E-2</v>
      </c>
      <c r="AH75" s="4">
        <f t="shared" si="56"/>
        <v>3.8577949977273339E-2</v>
      </c>
      <c r="AI75" s="4">
        <f t="shared" si="57"/>
        <v>0.16697043166911529</v>
      </c>
      <c r="AJ75" s="4">
        <f t="shared" si="58"/>
        <v>8.9389990153227503E-2</v>
      </c>
      <c r="AK75" s="4">
        <f t="shared" si="59"/>
        <v>4.3632782396775344E-2</v>
      </c>
      <c r="AM75" s="4">
        <f t="shared" si="60"/>
        <v>9.8685565811638606E-2</v>
      </c>
      <c r="AN75" s="4">
        <f t="shared" si="61"/>
        <v>0.24765130863409046</v>
      </c>
      <c r="AO75" s="4">
        <f t="shared" si="62"/>
        <v>0.2270174782385232</v>
      </c>
      <c r="AP75" s="4">
        <f t="shared" si="63"/>
        <v>0.11135028888243133</v>
      </c>
      <c r="AR75" s="4">
        <f t="shared" si="64"/>
        <v>6.9699788357699053E-4</v>
      </c>
      <c r="AS75" s="4">
        <f t="shared" si="65"/>
        <v>3.3811805066357684E-4</v>
      </c>
      <c r="AT75" s="4">
        <f t="shared" si="66"/>
        <v>3.7966540441782448E-3</v>
      </c>
      <c r="AV75" s="5">
        <f t="shared" si="67"/>
        <v>4.8317699784188126E-3</v>
      </c>
    </row>
    <row r="76" spans="1:48">
      <c r="A76" s="4">
        <v>7300</v>
      </c>
      <c r="B76" s="4">
        <v>5120</v>
      </c>
      <c r="C76" s="4">
        <v>0.36</v>
      </c>
      <c r="D76" s="4">
        <v>32.962857142857139</v>
      </c>
      <c r="E76" s="8">
        <v>1.6</v>
      </c>
      <c r="F76" s="4">
        <v>11.868</v>
      </c>
      <c r="G76" s="8">
        <v>1.6</v>
      </c>
      <c r="H76" s="4">
        <v>36.636044073220326</v>
      </c>
      <c r="I76" s="8">
        <v>1.6</v>
      </c>
      <c r="K76" s="4">
        <v>91.320457070000003</v>
      </c>
      <c r="L76" s="4">
        <v>15</v>
      </c>
      <c r="M76" s="5">
        <v>8.6795429299999967</v>
      </c>
      <c r="P76" s="7">
        <f t="shared" si="68"/>
        <v>7.4009883162028686E-4</v>
      </c>
      <c r="Q76" s="7">
        <f t="shared" si="69"/>
        <v>2.7033129265192322E-2</v>
      </c>
      <c r="R76" s="7">
        <f t="shared" si="70"/>
        <v>5.7878338032844555E-3</v>
      </c>
      <c r="S76" s="7">
        <f t="shared" si="71"/>
        <v>4.1161062236843372E-4</v>
      </c>
      <c r="T76" s="7">
        <f t="shared" si="72"/>
        <v>4.9006837056340014E-4</v>
      </c>
      <c r="V76" s="5">
        <f t="shared" si="47"/>
        <v>3.4462740893028906E-2</v>
      </c>
      <c r="X76" s="4">
        <f t="shared" si="48"/>
        <v>0.31714891673902978</v>
      </c>
      <c r="Y76" s="4">
        <f t="shared" si="49"/>
        <v>0.33351332340067508</v>
      </c>
      <c r="Z76" s="4">
        <f t="shared" si="50"/>
        <v>0.17921279535088142</v>
      </c>
      <c r="AA76" s="4">
        <f t="shared" si="51"/>
        <v>0.13902105879045668</v>
      </c>
      <c r="AC76" s="4">
        <f t="shared" si="52"/>
        <v>6.0962302327336293E-2</v>
      </c>
      <c r="AD76" s="4">
        <f t="shared" si="53"/>
        <v>8.1818762587110627E-2</v>
      </c>
      <c r="AE76" s="4">
        <f t="shared" si="54"/>
        <v>0.13948555543263999</v>
      </c>
      <c r="AF76" s="4">
        <f t="shared" si="55"/>
        <v>6.8681448280779683E-2</v>
      </c>
      <c r="AH76" s="4">
        <f t="shared" si="56"/>
        <v>3.9137313100697194E-2</v>
      </c>
      <c r="AI76" s="4">
        <f t="shared" si="57"/>
        <v>0.16954869964996905</v>
      </c>
      <c r="AJ76" s="4">
        <f t="shared" si="58"/>
        <v>9.0644942583988891E-2</v>
      </c>
      <c r="AK76" s="4">
        <f t="shared" si="59"/>
        <v>4.4264383034116762E-2</v>
      </c>
      <c r="AM76" s="4">
        <f t="shared" si="60"/>
        <v>0.10009961542803349</v>
      </c>
      <c r="AN76" s="4">
        <f t="shared" si="61"/>
        <v>0.25136746223707968</v>
      </c>
      <c r="AO76" s="4">
        <f t="shared" si="62"/>
        <v>0.23013049801662888</v>
      </c>
      <c r="AP76" s="4">
        <f t="shared" si="63"/>
        <v>0.11294583131489644</v>
      </c>
      <c r="AR76" s="4">
        <f t="shared" si="64"/>
        <v>7.069850542619242E-4</v>
      </c>
      <c r="AS76" s="4">
        <f t="shared" si="65"/>
        <v>3.4275455789296448E-4</v>
      </c>
      <c r="AT76" s="4">
        <f t="shared" si="66"/>
        <v>3.8528283686769687E-3</v>
      </c>
      <c r="AV76" s="5">
        <f t="shared" si="67"/>
        <v>4.9025679808318576E-3</v>
      </c>
    </row>
    <row r="77" spans="1:48">
      <c r="A77" s="4">
        <v>7400</v>
      </c>
      <c r="B77" s="4">
        <v>5190</v>
      </c>
      <c r="C77" s="4">
        <v>0.36499999999999999</v>
      </c>
      <c r="D77" s="4">
        <v>33.225714285714282</v>
      </c>
      <c r="E77" s="8">
        <v>1.6</v>
      </c>
      <c r="F77" s="4">
        <v>12.012</v>
      </c>
      <c r="G77" s="8">
        <v>1.6</v>
      </c>
      <c r="H77" s="4">
        <v>37.075237408763421</v>
      </c>
      <c r="I77" s="8">
        <v>1.6</v>
      </c>
      <c r="K77" s="4">
        <v>91.301237290000003</v>
      </c>
      <c r="L77" s="4">
        <v>15</v>
      </c>
      <c r="M77" s="5">
        <v>8.6987627099999969</v>
      </c>
      <c r="P77" s="7">
        <f t="shared" si="68"/>
        <v>7.4017362000897212E-4</v>
      </c>
      <c r="Q77" s="7">
        <f t="shared" si="69"/>
        <v>2.7146008945878052E-2</v>
      </c>
      <c r="R77" s="7">
        <f t="shared" si="70"/>
        <v>5.8291637561746473E-3</v>
      </c>
      <c r="S77" s="7">
        <f t="shared" si="71"/>
        <v>4.1550253446486992E-4</v>
      </c>
      <c r="T77" s="7">
        <f t="shared" si="72"/>
        <v>4.9473077614395041E-4</v>
      </c>
      <c r="V77" s="5">
        <f t="shared" si="47"/>
        <v>3.4625579632670496E-2</v>
      </c>
      <c r="X77" s="4">
        <f t="shared" si="48"/>
        <v>0.30955802749543282</v>
      </c>
      <c r="Y77" s="4">
        <f t="shared" si="49"/>
        <v>0.33374080123564531</v>
      </c>
      <c r="Z77" s="4">
        <f t="shared" si="50"/>
        <v>0.18261844939635408</v>
      </c>
      <c r="AA77" s="4">
        <f t="shared" si="51"/>
        <v>0.14471485246086113</v>
      </c>
      <c r="AC77" s="4">
        <f t="shared" si="52"/>
        <v>6.1807638043375808E-2</v>
      </c>
      <c r="AD77" s="4">
        <f t="shared" si="53"/>
        <v>8.294365422994894E-2</v>
      </c>
      <c r="AE77" s="4">
        <f t="shared" si="54"/>
        <v>0.14131972233200002</v>
      </c>
      <c r="AF77" s="4">
        <f t="shared" si="55"/>
        <v>6.9634526224285009E-2</v>
      </c>
      <c r="AH77" s="4">
        <f t="shared" si="56"/>
        <v>3.9690757898186331E-2</v>
      </c>
      <c r="AI77" s="4">
        <f t="shared" si="57"/>
        <v>0.17205595089950268</v>
      </c>
      <c r="AJ77" s="4">
        <f t="shared" si="58"/>
        <v>9.1885296521845211E-2</v>
      </c>
      <c r="AK77" s="4">
        <f t="shared" si="59"/>
        <v>4.4889423367616685E-2</v>
      </c>
      <c r="AM77" s="4">
        <f t="shared" si="60"/>
        <v>0.10149839594156214</v>
      </c>
      <c r="AN77" s="4">
        <f t="shared" si="61"/>
        <v>0.25499960512945163</v>
      </c>
      <c r="AO77" s="4">
        <f t="shared" si="62"/>
        <v>0.23320501885384523</v>
      </c>
      <c r="AP77" s="4">
        <f t="shared" si="63"/>
        <v>0.11452394959190169</v>
      </c>
      <c r="AR77" s="4">
        <f t="shared" si="64"/>
        <v>7.1686438209978747E-4</v>
      </c>
      <c r="AS77" s="4">
        <f t="shared" si="65"/>
        <v>3.4733372510189586E-4</v>
      </c>
      <c r="AT77" s="4">
        <f t="shared" si="66"/>
        <v>3.9079299595244314E-3</v>
      </c>
      <c r="AV77" s="5">
        <f t="shared" si="67"/>
        <v>4.9721280667261152E-3</v>
      </c>
    </row>
    <row r="78" spans="1:48">
      <c r="A78" s="4">
        <v>7500</v>
      </c>
      <c r="B78" s="4">
        <v>5260</v>
      </c>
      <c r="C78" s="4">
        <v>0.37</v>
      </c>
      <c r="D78" s="4">
        <v>33.491428571428578</v>
      </c>
      <c r="E78" s="8">
        <v>1.6</v>
      </c>
      <c r="F78" s="4">
        <v>12.155999999999999</v>
      </c>
      <c r="G78" s="8">
        <v>1.6</v>
      </c>
      <c r="H78" s="4">
        <v>37.514430744306523</v>
      </c>
      <c r="I78" s="8">
        <v>1.6</v>
      </c>
      <c r="K78" s="4">
        <v>91.272616128999999</v>
      </c>
      <c r="L78" s="4">
        <v>15</v>
      </c>
      <c r="M78" s="5">
        <v>8.7273838710000007</v>
      </c>
      <c r="P78" s="7">
        <f t="shared" si="68"/>
        <v>7.4026020259216284E-4</v>
      </c>
      <c r="Q78" s="7">
        <f t="shared" si="69"/>
        <v>2.7314477561368528E-2</v>
      </c>
      <c r="R78" s="7">
        <f t="shared" si="70"/>
        <v>5.8911562884504561E-3</v>
      </c>
      <c r="S78" s="7">
        <f t="shared" si="71"/>
        <v>4.2135954116651498E-4</v>
      </c>
      <c r="T78" s="7">
        <f t="shared" si="72"/>
        <v>5.0174799475508557E-4</v>
      </c>
      <c r="V78" s="5">
        <f t="shared" si="47"/>
        <v>3.4869001588332754E-2</v>
      </c>
      <c r="X78" s="4">
        <f t="shared" si="48"/>
        <v>0.30207269318834196</v>
      </c>
      <c r="Y78" s="4">
        <f t="shared" si="49"/>
        <v>0.33376765702543287</v>
      </c>
      <c r="Z78" s="4">
        <f t="shared" si="50"/>
        <v>0.18593369574836704</v>
      </c>
      <c r="AA78" s="4">
        <f t="shared" si="51"/>
        <v>0.15049386307004065</v>
      </c>
      <c r="AC78" s="4">
        <f t="shared" si="52"/>
        <v>6.26435297161856E-2</v>
      </c>
      <c r="AD78" s="4">
        <f t="shared" si="53"/>
        <v>8.4055441018548713E-2</v>
      </c>
      <c r="AE78" s="4">
        <f t="shared" si="54"/>
        <v>0.14312989936447587</v>
      </c>
      <c r="AF78" s="4">
        <f t="shared" si="55"/>
        <v>7.0576641812810745E-2</v>
      </c>
      <c r="AH78" s="4">
        <f t="shared" si="56"/>
        <v>4.0238216083854805E-2</v>
      </c>
      <c r="AI78" s="4">
        <f t="shared" si="57"/>
        <v>0.17449184742377535</v>
      </c>
      <c r="AJ78" s="4">
        <f t="shared" si="58"/>
        <v>9.311093708612117E-2</v>
      </c>
      <c r="AK78" s="4">
        <f t="shared" si="59"/>
        <v>4.5507824653887759E-2</v>
      </c>
      <c r="AM78" s="4">
        <f t="shared" si="60"/>
        <v>0.10288174580004041</v>
      </c>
      <c r="AN78" s="4">
        <f t="shared" si="61"/>
        <v>0.25854728844232405</v>
      </c>
      <c r="AO78" s="4">
        <f t="shared" si="62"/>
        <v>0.23624083645059704</v>
      </c>
      <c r="AP78" s="4">
        <f t="shared" si="63"/>
        <v>0.11608446646669851</v>
      </c>
      <c r="AR78" s="4">
        <f t="shared" si="64"/>
        <v>7.2663472607740857E-4</v>
      </c>
      <c r="AS78" s="4">
        <f t="shared" si="65"/>
        <v>3.5185524800818689E-4</v>
      </c>
      <c r="AT78" s="4">
        <f t="shared" si="66"/>
        <v>3.9619521951778361E-3</v>
      </c>
      <c r="AV78" s="5">
        <f t="shared" si="67"/>
        <v>5.0404421692634314E-3</v>
      </c>
    </row>
    <row r="79" spans="1:48">
      <c r="A79" s="4">
        <v>7600</v>
      </c>
      <c r="B79" s="4">
        <v>5330</v>
      </c>
      <c r="C79" s="4">
        <v>0.375</v>
      </c>
      <c r="D79" s="4">
        <v>33.754285714285714</v>
      </c>
      <c r="E79" s="8">
        <v>1.6</v>
      </c>
      <c r="F79" s="4">
        <v>12.3</v>
      </c>
      <c r="G79" s="8">
        <v>1.6</v>
      </c>
      <c r="H79" s="4">
        <v>37.953624079849618</v>
      </c>
      <c r="I79" s="8">
        <v>1.6</v>
      </c>
      <c r="K79" s="4">
        <v>91.244241350999999</v>
      </c>
      <c r="L79" s="4">
        <v>15</v>
      </c>
      <c r="M79" s="5">
        <v>8.7557586490000006</v>
      </c>
      <c r="P79" s="7">
        <f t="shared" si="68"/>
        <v>7.4031667707501311E-4</v>
      </c>
      <c r="Q79" s="7">
        <f t="shared" si="69"/>
        <v>2.7481934684325159E-2</v>
      </c>
      <c r="R79" s="7">
        <f t="shared" si="70"/>
        <v>5.9531449400640002E-3</v>
      </c>
      <c r="S79" s="7">
        <f t="shared" si="71"/>
        <v>4.2723932529751608E-4</v>
      </c>
      <c r="T79" s="7">
        <f t="shared" si="72"/>
        <v>5.0879332153604226E-4</v>
      </c>
      <c r="V79" s="5">
        <f t="shared" si="47"/>
        <v>3.5111428948297725E-2</v>
      </c>
      <c r="X79" s="4">
        <f t="shared" si="48"/>
        <v>0.29469751038970704</v>
      </c>
      <c r="Y79" s="4">
        <f t="shared" si="49"/>
        <v>0.33360080303139394</v>
      </c>
      <c r="Z79" s="4">
        <f t="shared" si="50"/>
        <v>0.18915633050019964</v>
      </c>
      <c r="AA79" s="4">
        <f t="shared" si="51"/>
        <v>0.15635468703713773</v>
      </c>
      <c r="AC79" s="4">
        <f t="shared" si="52"/>
        <v>6.3469895441895921E-2</v>
      </c>
      <c r="AD79" s="4">
        <f t="shared" si="53"/>
        <v>8.5154027711021832E-2</v>
      </c>
      <c r="AE79" s="4">
        <f t="shared" si="54"/>
        <v>0.14491602297034425</v>
      </c>
      <c r="AF79" s="4">
        <f t="shared" si="55"/>
        <v>7.1507709829251628E-2</v>
      </c>
      <c r="AH79" s="4">
        <f t="shared" si="56"/>
        <v>4.0779626893088262E-2</v>
      </c>
      <c r="AI79" s="4">
        <f t="shared" si="57"/>
        <v>0.17685619071908623</v>
      </c>
      <c r="AJ79" s="4">
        <f t="shared" si="58"/>
        <v>9.4321766815205488E-2</v>
      </c>
      <c r="AK79" s="4">
        <f t="shared" si="59"/>
        <v>4.6119516433926283E-2</v>
      </c>
      <c r="AM79" s="4">
        <f t="shared" si="60"/>
        <v>0.10424952233498419</v>
      </c>
      <c r="AN79" s="4">
        <f t="shared" si="61"/>
        <v>0.26201021843010808</v>
      </c>
      <c r="AO79" s="4">
        <f t="shared" si="62"/>
        <v>0.23923778978554974</v>
      </c>
      <c r="AP79" s="4">
        <f t="shared" si="63"/>
        <v>0.11762722626317791</v>
      </c>
      <c r="AR79" s="4">
        <f t="shared" si="64"/>
        <v>7.3629507855369402E-4</v>
      </c>
      <c r="AS79" s="4">
        <f t="shared" si="65"/>
        <v>3.5631888678792537E-4</v>
      </c>
      <c r="AT79" s="4">
        <f t="shared" si="66"/>
        <v>4.0148903227371453E-3</v>
      </c>
      <c r="AV79" s="5">
        <f t="shared" si="67"/>
        <v>5.1075042880787645E-3</v>
      </c>
    </row>
    <row r="80" spans="1:48">
      <c r="A80" s="4">
        <v>7700</v>
      </c>
      <c r="B80" s="4">
        <v>5400</v>
      </c>
      <c r="C80" s="4">
        <v>0.38</v>
      </c>
      <c r="D80" s="4">
        <v>34.01285714285715</v>
      </c>
      <c r="E80" s="8">
        <v>1.6</v>
      </c>
      <c r="F80" s="4">
        <v>12.443999999999999</v>
      </c>
      <c r="G80" s="8">
        <v>1.6</v>
      </c>
      <c r="H80" s="4">
        <v>38.39281741539272</v>
      </c>
      <c r="I80" s="8">
        <v>1.6</v>
      </c>
      <c r="K80" s="4">
        <v>91.225459631000007</v>
      </c>
      <c r="L80" s="4">
        <v>15</v>
      </c>
      <c r="M80" s="5">
        <v>8.7745403689999932</v>
      </c>
      <c r="P80" s="7">
        <f t="shared" si="68"/>
        <v>7.4033793234406218E-4</v>
      </c>
      <c r="Q80" s="7">
        <f t="shared" si="69"/>
        <v>2.7593016083655161E-2</v>
      </c>
      <c r="R80" s="7">
        <f t="shared" si="70"/>
        <v>5.9944680058276285E-3</v>
      </c>
      <c r="S80" s="7">
        <f t="shared" si="71"/>
        <v>4.311717317892518E-4</v>
      </c>
      <c r="T80" s="7">
        <f t="shared" si="72"/>
        <v>5.1350569858624932E-4</v>
      </c>
      <c r="V80" s="5">
        <f t="shared" si="47"/>
        <v>3.5272499452202358E-2</v>
      </c>
      <c r="X80" s="4">
        <f t="shared" si="48"/>
        <v>0.28743647675449024</v>
      </c>
      <c r="Y80" s="4">
        <f t="shared" si="49"/>
        <v>0.33324719013128079</v>
      </c>
      <c r="Z80" s="4">
        <f t="shared" si="50"/>
        <v>0.19228439171255307</v>
      </c>
      <c r="AA80" s="4">
        <f t="shared" si="51"/>
        <v>0.16229389347221845</v>
      </c>
      <c r="AC80" s="4">
        <f t="shared" si="52"/>
        <v>6.4286664249775666E-2</v>
      </c>
      <c r="AD80" s="4">
        <f t="shared" si="53"/>
        <v>8.623933405401385E-2</v>
      </c>
      <c r="AE80" s="4">
        <f t="shared" si="54"/>
        <v>0.14667805413137752</v>
      </c>
      <c r="AF80" s="4">
        <f t="shared" si="55"/>
        <v>7.2427657796822753E-2</v>
      </c>
      <c r="AH80" s="4">
        <f t="shared" si="56"/>
        <v>4.1314936806473926E-2</v>
      </c>
      <c r="AI80" s="4">
        <f t="shared" si="57"/>
        <v>0.17914891225529406</v>
      </c>
      <c r="AJ80" s="4">
        <f t="shared" si="58"/>
        <v>9.5517704922835248E-2</v>
      </c>
      <c r="AK80" s="4">
        <f t="shared" si="59"/>
        <v>4.6724436243363657E-2</v>
      </c>
      <c r="AM80" s="4">
        <f t="shared" si="60"/>
        <v>0.10560160105624959</v>
      </c>
      <c r="AN80" s="4">
        <f t="shared" si="61"/>
        <v>0.26538824630930791</v>
      </c>
      <c r="AO80" s="4">
        <f t="shared" si="62"/>
        <v>0.24219575905421276</v>
      </c>
      <c r="AP80" s="4">
        <f t="shared" si="63"/>
        <v>0.11915209404018641</v>
      </c>
      <c r="AR80" s="4">
        <f t="shared" si="64"/>
        <v>7.4584456027780165E-4</v>
      </c>
      <c r="AS80" s="4">
        <f t="shared" si="65"/>
        <v>3.6072446300524318E-4</v>
      </c>
      <c r="AT80" s="4">
        <f t="shared" si="66"/>
        <v>4.0667413416465266E-3</v>
      </c>
      <c r="AV80" s="5">
        <f t="shared" si="67"/>
        <v>5.1733103649295713E-3</v>
      </c>
    </row>
    <row r="81" spans="1:48">
      <c r="A81" s="4">
        <v>7800</v>
      </c>
      <c r="B81" s="4">
        <v>5470</v>
      </c>
      <c r="C81" s="4">
        <v>0.38500000000000001</v>
      </c>
      <c r="D81" s="4">
        <v>34.272857142857141</v>
      </c>
      <c r="E81" s="8">
        <v>1.6</v>
      </c>
      <c r="F81" s="4">
        <v>12.587999999999999</v>
      </c>
      <c r="G81" s="8">
        <v>1.6</v>
      </c>
      <c r="H81" s="4">
        <v>38.832010750935815</v>
      </c>
      <c r="I81" s="8">
        <v>1.6</v>
      </c>
      <c r="K81" s="4">
        <v>91.197486198999997</v>
      </c>
      <c r="L81" s="4">
        <v>15</v>
      </c>
      <c r="M81" s="5">
        <v>8.8025138010000035</v>
      </c>
      <c r="P81" s="7">
        <f t="shared" si="68"/>
        <v>7.4034570998261621E-4</v>
      </c>
      <c r="Q81" s="7">
        <f t="shared" si="69"/>
        <v>2.7758810940596186E-2</v>
      </c>
      <c r="R81" s="7">
        <f t="shared" si="70"/>
        <v>6.0564477561614203E-3</v>
      </c>
      <c r="S81" s="7">
        <f t="shared" si="71"/>
        <v>4.3708901392520717E-4</v>
      </c>
      <c r="T81" s="7">
        <f t="shared" si="72"/>
        <v>5.2059732106964247E-4</v>
      </c>
      <c r="V81" s="5">
        <f t="shared" si="47"/>
        <v>3.5513290741735072E-2</v>
      </c>
      <c r="X81" s="4">
        <f t="shared" si="48"/>
        <v>0.28029303292876317</v>
      </c>
      <c r="Y81" s="4">
        <f t="shared" si="49"/>
        <v>0.33271378483407366</v>
      </c>
      <c r="Z81" s="4">
        <f t="shared" si="50"/>
        <v>0.1953161521680572</v>
      </c>
      <c r="AA81" s="4">
        <f t="shared" si="51"/>
        <v>0.16830803172884756</v>
      </c>
      <c r="AC81" s="4">
        <f t="shared" si="52"/>
        <v>6.5093775673005172E-2</v>
      </c>
      <c r="AD81" s="4">
        <f t="shared" si="53"/>
        <v>8.7311294142393067E-2</v>
      </c>
      <c r="AE81" s="4">
        <f t="shared" si="54"/>
        <v>0.14841597708003082</v>
      </c>
      <c r="AF81" s="4">
        <f t="shared" si="55"/>
        <v>7.3336425437226044E-2</v>
      </c>
      <c r="AH81" s="4">
        <f t="shared" si="56"/>
        <v>4.1844099273661034E-2</v>
      </c>
      <c r="AI81" s="4">
        <f t="shared" si="57"/>
        <v>0.18137006428984614</v>
      </c>
      <c r="AJ81" s="4">
        <f t="shared" si="58"/>
        <v>9.669868656104906E-2</v>
      </c>
      <c r="AK81" s="4">
        <f t="shared" si="59"/>
        <v>4.7322529321287624E-2</v>
      </c>
      <c r="AM81" s="4">
        <f t="shared" si="60"/>
        <v>0.10693787494666621</v>
      </c>
      <c r="AN81" s="4">
        <f t="shared" si="61"/>
        <v>0.26868135843223923</v>
      </c>
      <c r="AO81" s="4">
        <f t="shared" si="62"/>
        <v>0.24511466364107987</v>
      </c>
      <c r="AP81" s="4">
        <f t="shared" si="63"/>
        <v>0.12065895475851367</v>
      </c>
      <c r="AR81" s="4">
        <f t="shared" si="64"/>
        <v>7.5528241540726709E-4</v>
      </c>
      <c r="AS81" s="4">
        <f t="shared" si="65"/>
        <v>3.6507185659203798E-4</v>
      </c>
      <c r="AT81" s="4">
        <f t="shared" si="66"/>
        <v>4.117503890966023E-3</v>
      </c>
      <c r="AV81" s="5">
        <f t="shared" si="67"/>
        <v>5.2378581629653285E-3</v>
      </c>
    </row>
    <row r="82" spans="1:48">
      <c r="A82" s="4">
        <v>7900</v>
      </c>
      <c r="B82" s="4">
        <v>5540</v>
      </c>
      <c r="C82" s="4">
        <v>0.39</v>
      </c>
      <c r="D82" s="4">
        <v>34.53</v>
      </c>
      <c r="E82" s="8">
        <v>1.6</v>
      </c>
      <c r="F82" s="4">
        <v>12.731999999999998</v>
      </c>
      <c r="G82" s="8">
        <v>1.6</v>
      </c>
      <c r="H82" s="4">
        <v>39.271204086478917</v>
      </c>
      <c r="I82" s="8">
        <v>1.6</v>
      </c>
      <c r="K82" s="4">
        <v>91.178968268000006</v>
      </c>
      <c r="L82" s="4">
        <v>15</v>
      </c>
      <c r="M82" s="5">
        <v>8.8210317319999945</v>
      </c>
      <c r="P82" s="7">
        <f t="shared" si="68"/>
        <v>7.4033510229926862E-4</v>
      </c>
      <c r="Q82" s="7">
        <f t="shared" si="69"/>
        <v>2.7868793830376954E-2</v>
      </c>
      <c r="R82" s="7">
        <f t="shared" si="70"/>
        <v>6.0977639039498915E-3</v>
      </c>
      <c r="S82" s="7">
        <f t="shared" si="71"/>
        <v>4.4104622863652156E-4</v>
      </c>
      <c r="T82" s="7">
        <f t="shared" si="72"/>
        <v>5.2534033580619709E-4</v>
      </c>
      <c r="V82" s="5">
        <f t="shared" si="47"/>
        <v>3.5673279401068826E-2</v>
      </c>
      <c r="X82" s="4">
        <f t="shared" si="48"/>
        <v>0.27327010233846749</v>
      </c>
      <c r="Y82" s="4">
        <f t="shared" si="49"/>
        <v>0.33200754819657052</v>
      </c>
      <c r="Z82" s="4">
        <f t="shared" si="50"/>
        <v>0.19825011180303154</v>
      </c>
      <c r="AA82" s="4">
        <f t="shared" si="51"/>
        <v>0.1743936385989886</v>
      </c>
      <c r="AC82" s="4">
        <f t="shared" si="52"/>
        <v>6.5891179321169682E-2</v>
      </c>
      <c r="AD82" s="4">
        <f t="shared" si="53"/>
        <v>8.8369855785314408E-2</v>
      </c>
      <c r="AE82" s="4">
        <f t="shared" si="54"/>
        <v>0.15012979803843068</v>
      </c>
      <c r="AF82" s="4">
        <f t="shared" si="55"/>
        <v>7.4233964134663044E-2</v>
      </c>
      <c r="AH82" s="4">
        <f t="shared" si="56"/>
        <v>4.2367074438195887E-2</v>
      </c>
      <c r="AI82" s="4">
        <f t="shared" si="57"/>
        <v>0.18351981103317877</v>
      </c>
      <c r="AJ82" s="4">
        <f t="shared" si="58"/>
        <v>9.7864662092164587E-2</v>
      </c>
      <c r="AK82" s="4">
        <f t="shared" si="59"/>
        <v>4.7913748318858668E-2</v>
      </c>
      <c r="AM82" s="4">
        <f t="shared" si="60"/>
        <v>0.10825825375936557</v>
      </c>
      <c r="AN82" s="4">
        <f t="shared" si="61"/>
        <v>0.27188966681849319</v>
      </c>
      <c r="AO82" s="4">
        <f t="shared" si="62"/>
        <v>0.24799446013059528</v>
      </c>
      <c r="AP82" s="4">
        <f t="shared" si="63"/>
        <v>0.12214771245352171</v>
      </c>
      <c r="AR82" s="4">
        <f t="shared" si="64"/>
        <v>7.64608006545164E-4</v>
      </c>
      <c r="AS82" s="4">
        <f t="shared" si="65"/>
        <v>3.6936100288552165E-4</v>
      </c>
      <c r="AT82" s="4">
        <f t="shared" si="66"/>
        <v>4.1671781404862499E-3</v>
      </c>
      <c r="AV82" s="5">
        <f t="shared" si="67"/>
        <v>5.3011471499169356E-3</v>
      </c>
    </row>
    <row r="83" spans="1:48">
      <c r="A83" s="4">
        <v>8000</v>
      </c>
      <c r="B83" s="4">
        <v>5610</v>
      </c>
      <c r="C83" s="4">
        <v>0.39500000000000002</v>
      </c>
      <c r="D83" s="4">
        <v>34.782857142857146</v>
      </c>
      <c r="E83" s="8">
        <v>1.6</v>
      </c>
      <c r="F83" s="4">
        <v>12.875999999999999</v>
      </c>
      <c r="G83" s="8">
        <v>1.6</v>
      </c>
      <c r="H83" s="4">
        <v>39.710397422022027</v>
      </c>
      <c r="I83" s="8">
        <v>1.6</v>
      </c>
      <c r="K83" s="4">
        <v>91.151384985999997</v>
      </c>
      <c r="L83" s="4">
        <v>15</v>
      </c>
      <c r="M83" s="5">
        <v>8.8486150140000035</v>
      </c>
      <c r="P83" s="7">
        <f t="shared" si="68"/>
        <v>7.40295966696162E-4</v>
      </c>
      <c r="Q83" s="7">
        <f t="shared" si="69"/>
        <v>2.8032955208553666E-2</v>
      </c>
      <c r="R83" s="7">
        <f t="shared" si="70"/>
        <v>6.1597318316280415E-3</v>
      </c>
      <c r="S83" s="7">
        <f t="shared" si="71"/>
        <v>4.4700044053011095E-4</v>
      </c>
      <c r="T83" s="7">
        <f t="shared" si="72"/>
        <v>5.3247757927197496E-4</v>
      </c>
      <c r="V83" s="5">
        <f t="shared" si="47"/>
        <v>3.591246102667995E-2</v>
      </c>
      <c r="X83" s="4">
        <f t="shared" si="48"/>
        <v>0.26637012890339862</v>
      </c>
      <c r="Y83" s="4">
        <f t="shared" si="49"/>
        <v>0.33113541655317458</v>
      </c>
      <c r="Z83" s="4">
        <f t="shared" si="50"/>
        <v>0.20108498987721912</v>
      </c>
      <c r="AA83" s="4">
        <f t="shared" si="51"/>
        <v>0.18054724514958886</v>
      </c>
      <c r="AC83" s="4">
        <f t="shared" si="52"/>
        <v>6.6678834455952157E-2</v>
      </c>
      <c r="AD83" s="4">
        <f t="shared" si="53"/>
        <v>8.9414979880562614E-2</v>
      </c>
      <c r="AE83" s="4">
        <f t="shared" si="54"/>
        <v>0.15181954398960995</v>
      </c>
      <c r="AF83" s="4">
        <f t="shared" si="55"/>
        <v>7.5120236407224927E-2</v>
      </c>
      <c r="AH83" s="4">
        <f t="shared" si="56"/>
        <v>4.288382886426409E-2</v>
      </c>
      <c r="AI83" s="4">
        <f t="shared" si="57"/>
        <v>0.18559842018027486</v>
      </c>
      <c r="AJ83" s="4">
        <f t="shared" si="58"/>
        <v>9.90155963718376E-2</v>
      </c>
      <c r="AK83" s="4">
        <f t="shared" si="59"/>
        <v>4.8498053008822851E-2</v>
      </c>
      <c r="AM83" s="4">
        <f t="shared" si="60"/>
        <v>0.10956266332021625</v>
      </c>
      <c r="AN83" s="4">
        <f t="shared" si="61"/>
        <v>0.27501340006083747</v>
      </c>
      <c r="AO83" s="4">
        <f t="shared" si="62"/>
        <v>0.25083514036144755</v>
      </c>
      <c r="AP83" s="4">
        <f t="shared" si="63"/>
        <v>0.12361828941604777</v>
      </c>
      <c r="AR83" s="4">
        <f t="shared" si="64"/>
        <v>7.7382080981333243E-4</v>
      </c>
      <c r="AS83" s="4">
        <f t="shared" si="65"/>
        <v>3.7359188973030088E-4</v>
      </c>
      <c r="AT83" s="4">
        <f t="shared" si="66"/>
        <v>4.2157656858904944E-3</v>
      </c>
      <c r="AV83" s="5">
        <f t="shared" si="67"/>
        <v>5.3631783854341279E-3</v>
      </c>
    </row>
    <row r="84" spans="1:48">
      <c r="A84" s="4">
        <v>8100</v>
      </c>
      <c r="B84" s="4">
        <v>5680</v>
      </c>
      <c r="C84" s="4">
        <v>0.4</v>
      </c>
      <c r="D84" s="4">
        <v>35.04</v>
      </c>
      <c r="E84" s="8">
        <v>1.6</v>
      </c>
      <c r="F84" s="4">
        <v>13.020000000000001</v>
      </c>
      <c r="G84" s="8">
        <v>1.6</v>
      </c>
      <c r="H84" s="4">
        <v>40.149590757565129</v>
      </c>
      <c r="I84" s="8">
        <v>1.6</v>
      </c>
      <c r="K84" s="4">
        <v>91.133123537000003</v>
      </c>
      <c r="L84" s="4">
        <v>15</v>
      </c>
      <c r="M84" s="5">
        <v>8.866876462999997</v>
      </c>
      <c r="P84" s="7">
        <f t="shared" si="68"/>
        <v>7.4025465892984101E-4</v>
      </c>
      <c r="Q84" s="7">
        <f t="shared" si="69"/>
        <v>2.8141858525189259E-2</v>
      </c>
      <c r="R84" s="7">
        <f t="shared" si="70"/>
        <v>6.2010391557251804E-3</v>
      </c>
      <c r="S84" s="7">
        <f t="shared" si="71"/>
        <v>4.5098208894198832E-4</v>
      </c>
      <c r="T84" s="7">
        <f t="shared" si="72"/>
        <v>5.3725078693358814E-4</v>
      </c>
      <c r="V84" s="5">
        <f t="shared" si="47"/>
        <v>3.6071385215719856E-2</v>
      </c>
      <c r="X84" s="4">
        <f t="shared" si="48"/>
        <v>0.25959511272877644</v>
      </c>
      <c r="Y84" s="4">
        <f t="shared" si="49"/>
        <v>0.33010428396959912</v>
      </c>
      <c r="Z84" s="4">
        <f t="shared" si="50"/>
        <v>0.20381971693755752</v>
      </c>
      <c r="AA84" s="4">
        <f t="shared" si="51"/>
        <v>0.18676538320191827</v>
      </c>
      <c r="AC84" s="4">
        <f t="shared" si="52"/>
        <v>6.745670957133508E-2</v>
      </c>
      <c r="AD84" s="4">
        <f t="shared" si="53"/>
        <v>9.0446639798835729E-2</v>
      </c>
      <c r="AE84" s="4">
        <f t="shared" si="54"/>
        <v>0.15348526148298547</v>
      </c>
      <c r="AF84" s="4">
        <f t="shared" si="55"/>
        <v>7.5995215386992096E-2</v>
      </c>
      <c r="AH84" s="4">
        <f t="shared" si="56"/>
        <v>4.3394335266166907E-2</v>
      </c>
      <c r="AI84" s="4">
        <f t="shared" si="57"/>
        <v>0.18760625481802315</v>
      </c>
      <c r="AJ84" s="4">
        <f t="shared" si="58"/>
        <v>0.10015146804498358</v>
      </c>
      <c r="AK84" s="4">
        <f t="shared" si="59"/>
        <v>4.9075409996905822E-2</v>
      </c>
      <c r="AM84" s="4">
        <f t="shared" si="60"/>
        <v>0.11085104483750199</v>
      </c>
      <c r="AN84" s="4">
        <f t="shared" si="61"/>
        <v>0.27805289461685889</v>
      </c>
      <c r="AO84" s="4">
        <f t="shared" si="62"/>
        <v>0.25363672952796906</v>
      </c>
      <c r="AP84" s="4">
        <f t="shared" si="63"/>
        <v>0.1250706253838979</v>
      </c>
      <c r="AR84" s="4">
        <f t="shared" si="64"/>
        <v>7.8292040997676347E-4</v>
      </c>
      <c r="AS84" s="4">
        <f t="shared" si="65"/>
        <v>3.7776455465061672E-4</v>
      </c>
      <c r="AT84" s="4">
        <f t="shared" si="66"/>
        <v>4.2632694481082528E-3</v>
      </c>
      <c r="AV84" s="5">
        <f t="shared" si="67"/>
        <v>5.4239544127356338E-3</v>
      </c>
    </row>
    <row r="85" spans="1:48">
      <c r="A85" s="4">
        <v>8200</v>
      </c>
      <c r="B85" s="4">
        <v>5750</v>
      </c>
      <c r="C85" s="4">
        <v>0.40500000000000003</v>
      </c>
      <c r="D85" s="4">
        <v>35.29</v>
      </c>
      <c r="E85" s="8">
        <v>1.6</v>
      </c>
      <c r="F85" s="4">
        <v>13.164</v>
      </c>
      <c r="G85" s="8">
        <v>1.6</v>
      </c>
      <c r="H85" s="4">
        <v>40.588784093108224</v>
      </c>
      <c r="I85" s="8">
        <v>1.6</v>
      </c>
      <c r="K85" s="4">
        <v>91.105919671999999</v>
      </c>
      <c r="L85" s="4">
        <v>15</v>
      </c>
      <c r="M85" s="5">
        <v>8.8940803280000011</v>
      </c>
      <c r="P85" s="7">
        <f t="shared" si="68"/>
        <v>7.4017031623674801E-4</v>
      </c>
      <c r="Q85" s="7">
        <f t="shared" si="69"/>
        <v>2.8304414459774198E-2</v>
      </c>
      <c r="R85" s="7">
        <f t="shared" si="70"/>
        <v>6.262992465513686E-3</v>
      </c>
      <c r="S85" s="7">
        <f t="shared" si="71"/>
        <v>4.5697267537335499E-4</v>
      </c>
      <c r="T85" s="7">
        <f t="shared" si="72"/>
        <v>5.4443299192954737E-4</v>
      </c>
      <c r="V85" s="5">
        <f t="shared" si="47"/>
        <v>3.6308982908827538E-2</v>
      </c>
      <c r="X85" s="4">
        <f t="shared" si="48"/>
        <v>0.25294664383290577</v>
      </c>
      <c r="Y85" s="4">
        <f t="shared" si="49"/>
        <v>0.32892098633123934</v>
      </c>
      <c r="Z85" s="4">
        <f t="shared" si="50"/>
        <v>0.20645342662758059</v>
      </c>
      <c r="AA85" s="4">
        <f t="shared" si="51"/>
        <v>0.19304459145626884</v>
      </c>
      <c r="AC85" s="4">
        <f t="shared" si="52"/>
        <v>6.8224781979464105E-2</v>
      </c>
      <c r="AD85" s="4">
        <f t="shared" si="53"/>
        <v>9.1464820779405362E-2</v>
      </c>
      <c r="AE85" s="4">
        <f t="shared" si="54"/>
        <v>0.1551270154756724</v>
      </c>
      <c r="AF85" s="4">
        <f t="shared" si="55"/>
        <v>7.6858884309992437E-2</v>
      </c>
      <c r="AH85" s="4">
        <f t="shared" si="56"/>
        <v>4.3898572241261639E-2</v>
      </c>
      <c r="AI85" s="4">
        <f t="shared" si="57"/>
        <v>0.18954376571358056</v>
      </c>
      <c r="AJ85" s="4">
        <f t="shared" si="58"/>
        <v>0.10127226885608899</v>
      </c>
      <c r="AK85" s="4">
        <f t="shared" si="59"/>
        <v>4.9645792435962913E-2</v>
      </c>
      <c r="AM85" s="4">
        <f t="shared" si="60"/>
        <v>0.11212335422072575</v>
      </c>
      <c r="AN85" s="4">
        <f t="shared" si="61"/>
        <v>0.28100858649298593</v>
      </c>
      <c r="AO85" s="4">
        <f t="shared" si="62"/>
        <v>0.2563992843317614</v>
      </c>
      <c r="AP85" s="4">
        <f t="shared" si="63"/>
        <v>0.12650467674595534</v>
      </c>
      <c r="AR85" s="4">
        <f t="shared" si="64"/>
        <v>7.9190649563243818E-4</v>
      </c>
      <c r="AS85" s="4">
        <f t="shared" si="65"/>
        <v>3.8187908209738955E-4</v>
      </c>
      <c r="AT85" s="4">
        <f t="shared" si="66"/>
        <v>4.3096935769518308E-3</v>
      </c>
      <c r="AV85" s="5">
        <f t="shared" si="67"/>
        <v>5.4834791546816584E-3</v>
      </c>
    </row>
    <row r="86" spans="1:48">
      <c r="A86" s="4">
        <v>8300</v>
      </c>
      <c r="B86" s="4">
        <v>5820</v>
      </c>
      <c r="C86" s="4">
        <v>0.41</v>
      </c>
      <c r="D86" s="4">
        <v>35.542857142857144</v>
      </c>
      <c r="E86" s="8">
        <v>1.6</v>
      </c>
      <c r="F86" s="4">
        <v>13.308</v>
      </c>
      <c r="G86" s="8">
        <v>1.6</v>
      </c>
      <c r="H86" s="4">
        <v>41.027977428651319</v>
      </c>
      <c r="I86" s="8">
        <v>1.6</v>
      </c>
      <c r="K86" s="4">
        <v>91.087907697999995</v>
      </c>
      <c r="L86" s="4">
        <v>15</v>
      </c>
      <c r="M86" s="5">
        <v>8.9120923020000049</v>
      </c>
      <c r="P86" s="7">
        <f t="shared" si="68"/>
        <v>7.4009942102918659E-4</v>
      </c>
      <c r="Q86" s="7">
        <f t="shared" si="69"/>
        <v>2.8412256647695137E-2</v>
      </c>
      <c r="R86" s="7">
        <f t="shared" si="70"/>
        <v>6.3042891424300645E-3</v>
      </c>
      <c r="S86" s="7">
        <f t="shared" si="71"/>
        <v>4.6097839152357036E-4</v>
      </c>
      <c r="T86" s="7">
        <f t="shared" si="72"/>
        <v>5.4923595778481307E-4</v>
      </c>
      <c r="V86" s="5">
        <f t="shared" si="47"/>
        <v>3.6466859560462771E-2</v>
      </c>
      <c r="X86" s="4">
        <f t="shared" si="48"/>
        <v>0.24642593397418444</v>
      </c>
      <c r="Y86" s="4">
        <f t="shared" si="49"/>
        <v>0.32759228697764875</v>
      </c>
      <c r="Z86" s="4">
        <f t="shared" si="50"/>
        <v>0.2089854473897339</v>
      </c>
      <c r="AA86" s="4">
        <f t="shared" si="51"/>
        <v>0.1993814212659677</v>
      </c>
      <c r="AC86" s="4">
        <f t="shared" si="52"/>
        <v>6.8983037403178279E-2</v>
      </c>
      <c r="AD86" s="4">
        <f t="shared" si="53"/>
        <v>9.2469519338380254E-2</v>
      </c>
      <c r="AE86" s="4">
        <f t="shared" si="54"/>
        <v>0.15674488821085936</v>
      </c>
      <c r="AF86" s="4">
        <f t="shared" si="55"/>
        <v>7.7711236016997892E-2</v>
      </c>
      <c r="AH86" s="4">
        <f t="shared" si="56"/>
        <v>4.439652400700337E-2</v>
      </c>
      <c r="AI86" s="4">
        <f t="shared" si="57"/>
        <v>0.1914114839851101</v>
      </c>
      <c r="AJ86" s="4">
        <f t="shared" si="58"/>
        <v>0.10237800297520193</v>
      </c>
      <c r="AK86" s="4">
        <f t="shared" si="59"/>
        <v>5.0209179743657795E-2</v>
      </c>
      <c r="AM86" s="4">
        <f t="shared" si="60"/>
        <v>0.11337956141018166</v>
      </c>
      <c r="AN86" s="4">
        <f t="shared" si="61"/>
        <v>0.28388100332349037</v>
      </c>
      <c r="AO86" s="4">
        <f t="shared" si="62"/>
        <v>0.2591228911860613</v>
      </c>
      <c r="AP86" s="4">
        <f t="shared" si="63"/>
        <v>0.12792041576065569</v>
      </c>
      <c r="AR86" s="4">
        <f t="shared" si="64"/>
        <v>8.0077885447421831E-4</v>
      </c>
      <c r="AS86" s="4">
        <f t="shared" si="65"/>
        <v>3.8593560077381618E-4</v>
      </c>
      <c r="AT86" s="4">
        <f t="shared" si="66"/>
        <v>4.355043359082017E-3</v>
      </c>
      <c r="AV86" s="5">
        <f t="shared" si="67"/>
        <v>5.5417578143300518E-3</v>
      </c>
    </row>
    <row r="87" spans="1:48">
      <c r="A87" s="4">
        <v>8400</v>
      </c>
      <c r="B87" s="4">
        <v>5890</v>
      </c>
      <c r="C87" s="4">
        <v>0.41499999999999998</v>
      </c>
      <c r="D87" s="4">
        <v>35.792857142857137</v>
      </c>
      <c r="E87" s="8">
        <v>1.6</v>
      </c>
      <c r="F87" s="4">
        <v>13.451999999999998</v>
      </c>
      <c r="G87" s="8">
        <v>1.6</v>
      </c>
      <c r="H87" s="4">
        <v>41.467170764194428</v>
      </c>
      <c r="I87" s="8">
        <v>1.6</v>
      </c>
      <c r="K87" s="4">
        <v>91.061072952999993</v>
      </c>
      <c r="L87" s="4">
        <v>15</v>
      </c>
      <c r="M87" s="5">
        <v>8.9389270470000071</v>
      </c>
      <c r="P87" s="7">
        <f t="shared" si="68"/>
        <v>7.3997150407840637E-4</v>
      </c>
      <c r="Q87" s="7">
        <f t="shared" si="69"/>
        <v>2.8573234458636215E-2</v>
      </c>
      <c r="R87" s="7">
        <f t="shared" si="70"/>
        <v>6.3662251632453778E-3</v>
      </c>
      <c r="S87" s="7">
        <f t="shared" si="71"/>
        <v>4.6700481026799048E-4</v>
      </c>
      <c r="T87" s="7">
        <f t="shared" si="72"/>
        <v>5.56462480102887E-4</v>
      </c>
      <c r="V87" s="5">
        <f t="shared" si="47"/>
        <v>3.6702898416330877E-2</v>
      </c>
      <c r="X87" s="4">
        <f t="shared" si="48"/>
        <v>0.24003384664421767</v>
      </c>
      <c r="Y87" s="4">
        <f t="shared" si="49"/>
        <v>0.32612486379577721</v>
      </c>
      <c r="Z87" s="4">
        <f t="shared" si="50"/>
        <v>0.21141529410378634</v>
      </c>
      <c r="AA87" s="4">
        <f t="shared" si="51"/>
        <v>0.2057724420658622</v>
      </c>
      <c r="AC87" s="4">
        <f t="shared" si="52"/>
        <v>6.9731469576076358E-2</v>
      </c>
      <c r="AD87" s="4">
        <f t="shared" si="53"/>
        <v>9.3460742690609583E-2</v>
      </c>
      <c r="AE87" s="4">
        <f t="shared" si="54"/>
        <v>0.1583389781341405</v>
      </c>
      <c r="AF87" s="4">
        <f t="shared" si="55"/>
        <v>7.8552272465982814E-2</v>
      </c>
      <c r="AH87" s="4">
        <f t="shared" si="56"/>
        <v>4.4888180142641378E-2</v>
      </c>
      <c r="AI87" s="4">
        <f t="shared" si="57"/>
        <v>0.19321001415302322</v>
      </c>
      <c r="AJ87" s="4">
        <f t="shared" si="58"/>
        <v>0.10346868634067892</v>
      </c>
      <c r="AK87" s="4">
        <f t="shared" si="59"/>
        <v>5.0765557324346289E-2</v>
      </c>
      <c r="AM87" s="4">
        <f t="shared" si="60"/>
        <v>0.11461964971871774</v>
      </c>
      <c r="AN87" s="4">
        <f t="shared" si="61"/>
        <v>0.2866707568436328</v>
      </c>
      <c r="AO87" s="4">
        <f t="shared" si="62"/>
        <v>0.2618076644748194</v>
      </c>
      <c r="AP87" s="4">
        <f t="shared" si="63"/>
        <v>0.1293178297903291</v>
      </c>
      <c r="AR87" s="4">
        <f t="shared" si="64"/>
        <v>8.0953736864383848E-4</v>
      </c>
      <c r="AS87" s="4">
        <f t="shared" si="65"/>
        <v>3.8993428104245503E-4</v>
      </c>
      <c r="AT87" s="4">
        <f t="shared" si="66"/>
        <v>4.3993251303098696E-3</v>
      </c>
      <c r="AV87" s="5">
        <f t="shared" si="67"/>
        <v>5.5987967799961628E-3</v>
      </c>
    </row>
    <row r="88" spans="1:48">
      <c r="A88" s="4">
        <v>8500</v>
      </c>
      <c r="B88" s="4">
        <v>5960</v>
      </c>
      <c r="C88" s="4">
        <v>0.42</v>
      </c>
      <c r="D88" s="4">
        <v>36.03857142857143</v>
      </c>
      <c r="E88" s="8">
        <v>1.6</v>
      </c>
      <c r="F88" s="4">
        <v>13.596</v>
      </c>
      <c r="G88" s="8">
        <v>1.6</v>
      </c>
      <c r="H88" s="4">
        <v>41.906364099737523</v>
      </c>
      <c r="I88" s="8">
        <v>1.6</v>
      </c>
      <c r="K88" s="4">
        <v>91.043303730000005</v>
      </c>
      <c r="L88" s="4">
        <v>15</v>
      </c>
      <c r="M88" s="5">
        <v>8.9566962699999948</v>
      </c>
      <c r="P88" s="7">
        <f t="shared" si="68"/>
        <v>7.3987208650726894E-4</v>
      </c>
      <c r="Q88" s="7">
        <f t="shared" si="69"/>
        <v>2.8680033491993408E-2</v>
      </c>
      <c r="R88" s="7">
        <f t="shared" si="70"/>
        <v>6.407509449577793E-3</v>
      </c>
      <c r="S88" s="7">
        <f t="shared" si="71"/>
        <v>4.7103423664700034E-4</v>
      </c>
      <c r="T88" s="7">
        <f t="shared" si="72"/>
        <v>5.6129477933528635E-4</v>
      </c>
      <c r="V88" s="5">
        <f t="shared" si="47"/>
        <v>3.6859744044060762E-2</v>
      </c>
      <c r="X88" s="4">
        <f t="shared" si="48"/>
        <v>0.23377092529627741</v>
      </c>
      <c r="Y88" s="4">
        <f t="shared" si="49"/>
        <v>0.32452529768631766</v>
      </c>
      <c r="Z88" s="4">
        <f t="shared" si="50"/>
        <v>0.21374265970058925</v>
      </c>
      <c r="AA88" s="4">
        <f t="shared" si="51"/>
        <v>0.21221424646147546</v>
      </c>
      <c r="AC88" s="4">
        <f t="shared" si="52"/>
        <v>7.0470079850861927E-2</v>
      </c>
      <c r="AD88" s="4">
        <f t="shared" si="53"/>
        <v>9.4438508186084666E-2</v>
      </c>
      <c r="AE88" s="4">
        <f t="shared" si="54"/>
        <v>0.1599093988484038</v>
      </c>
      <c r="AF88" s="4">
        <f t="shared" si="55"/>
        <v>7.9382004256925348E-2</v>
      </c>
      <c r="AH88" s="4">
        <f t="shared" si="56"/>
        <v>4.5373535336044678E-2</v>
      </c>
      <c r="AI88" s="4">
        <f t="shared" si="57"/>
        <v>0.19494002756710982</v>
      </c>
      <c r="AJ88" s="4">
        <f t="shared" si="58"/>
        <v>0.10454434601956558</v>
      </c>
      <c r="AK88" s="4">
        <f t="shared" si="59"/>
        <v>5.1314916295752785E-2</v>
      </c>
      <c r="AM88" s="4">
        <f t="shared" si="60"/>
        <v>0.11584361518690661</v>
      </c>
      <c r="AN88" s="4">
        <f t="shared" si="61"/>
        <v>0.2893785357531945</v>
      </c>
      <c r="AO88" s="4">
        <f t="shared" si="62"/>
        <v>0.26445374486796935</v>
      </c>
      <c r="AP88" s="4">
        <f t="shared" si="63"/>
        <v>0.13069692055267812</v>
      </c>
      <c r="AR88" s="4">
        <f t="shared" si="64"/>
        <v>8.1818201017659598E-4</v>
      </c>
      <c r="AS88" s="4">
        <f t="shared" si="65"/>
        <v>3.9387533241600143E-4</v>
      </c>
      <c r="AT88" s="4">
        <f t="shared" si="66"/>
        <v>4.4425461922082791E-3</v>
      </c>
      <c r="AV88" s="5">
        <f t="shared" si="67"/>
        <v>5.6546035348008766E-3</v>
      </c>
    </row>
    <row r="89" spans="1:48">
      <c r="A89" s="4">
        <v>8600</v>
      </c>
      <c r="B89" s="4">
        <v>6030</v>
      </c>
      <c r="C89" s="4">
        <v>0.42499999999999999</v>
      </c>
      <c r="D89" s="4">
        <v>36.285714285714285</v>
      </c>
      <c r="E89" s="8">
        <v>1.6</v>
      </c>
      <c r="F89" s="4">
        <v>13.739999999999998</v>
      </c>
      <c r="G89" s="8">
        <v>1.6</v>
      </c>
      <c r="H89" s="4">
        <v>42.345557435280625</v>
      </c>
      <c r="I89" s="8">
        <v>1.6</v>
      </c>
      <c r="K89" s="4">
        <v>91.016828222000001</v>
      </c>
      <c r="L89" s="4">
        <v>15</v>
      </c>
      <c r="M89" s="5">
        <v>8.9831717779999991</v>
      </c>
      <c r="P89" s="7">
        <f t="shared" si="68"/>
        <v>7.3970215868276611E-4</v>
      </c>
      <c r="Q89" s="7">
        <f t="shared" si="69"/>
        <v>2.8839459800076701E-2</v>
      </c>
      <c r="R89" s="7">
        <f t="shared" si="70"/>
        <v>6.4694256254132446E-3</v>
      </c>
      <c r="S89" s="7">
        <f t="shared" si="71"/>
        <v>4.7709595774684898E-4</v>
      </c>
      <c r="T89" s="7">
        <f t="shared" si="72"/>
        <v>5.6856498915315112E-4</v>
      </c>
      <c r="V89" s="5">
        <f t="shared" si="47"/>
        <v>3.709424853107271E-2</v>
      </c>
      <c r="X89" s="4">
        <f t="shared" si="48"/>
        <v>0.22763741987990416</v>
      </c>
      <c r="Y89" s="4">
        <f t="shared" si="49"/>
        <v>0.3228000623195515</v>
      </c>
      <c r="Z89" s="4">
        <f t="shared" si="50"/>
        <v>0.21596740678673976</v>
      </c>
      <c r="AA89" s="4">
        <f t="shared" si="51"/>
        <v>0.21870345498594401</v>
      </c>
      <c r="AC89" s="4">
        <f t="shared" si="52"/>
        <v>7.1198876816595619E-2</v>
      </c>
      <c r="AD89" s="4">
        <f t="shared" si="53"/>
        <v>9.5402842761540624E-2</v>
      </c>
      <c r="AE89" s="4">
        <f t="shared" si="54"/>
        <v>0.16145627810761443</v>
      </c>
      <c r="AF89" s="4">
        <f t="shared" si="55"/>
        <v>8.0200450169503959E-2</v>
      </c>
      <c r="AH89" s="4">
        <f t="shared" si="56"/>
        <v>4.5852589136059593E-2</v>
      </c>
      <c r="AI89" s="4">
        <f t="shared" si="57"/>
        <v>0.19660225620267774</v>
      </c>
      <c r="AJ89" s="4">
        <f t="shared" si="58"/>
        <v>0.10560501958631253</v>
      </c>
      <c r="AK89" s="4">
        <f t="shared" si="59"/>
        <v>5.1857253220945677E-2</v>
      </c>
      <c r="AM89" s="4">
        <f t="shared" si="60"/>
        <v>0.11705146595265521</v>
      </c>
      <c r="AN89" s="4">
        <f t="shared" si="61"/>
        <v>0.29200509896421833</v>
      </c>
      <c r="AO89" s="4">
        <f t="shared" si="62"/>
        <v>0.26706129769392695</v>
      </c>
      <c r="AP89" s="4">
        <f t="shared" si="63"/>
        <v>0.13205770339044964</v>
      </c>
      <c r="AR89" s="4">
        <f t="shared" si="64"/>
        <v>8.2671283654902109E-4</v>
      </c>
      <c r="AS89" s="4">
        <f t="shared" si="65"/>
        <v>3.9775900113330051E-4</v>
      </c>
      <c r="AT89" s="4">
        <f t="shared" si="66"/>
        <v>4.4847147329791885E-3</v>
      </c>
      <c r="AV89" s="5">
        <f t="shared" si="67"/>
        <v>5.70918657066151E-3</v>
      </c>
    </row>
    <row r="90" spans="1:48">
      <c r="A90" s="4">
        <v>8700</v>
      </c>
      <c r="B90" s="4">
        <v>6100</v>
      </c>
      <c r="C90" s="4">
        <v>0.43</v>
      </c>
      <c r="D90" s="4">
        <v>36.527142857142856</v>
      </c>
      <c r="E90" s="8">
        <v>1.6</v>
      </c>
      <c r="F90" s="4">
        <v>13.884</v>
      </c>
      <c r="G90" s="8">
        <v>1.6</v>
      </c>
      <c r="H90" s="4">
        <v>42.784750770823727</v>
      </c>
      <c r="I90" s="8">
        <v>1.6</v>
      </c>
      <c r="K90" s="4">
        <v>90.999295291999999</v>
      </c>
      <c r="L90" s="4">
        <v>15</v>
      </c>
      <c r="M90" s="5">
        <v>9.0007047080000007</v>
      </c>
      <c r="P90" s="7">
        <f t="shared" si="68"/>
        <v>7.3957523874071418E-4</v>
      </c>
      <c r="Q90" s="7">
        <f t="shared" si="69"/>
        <v>2.8945233210337689E-2</v>
      </c>
      <c r="R90" s="7">
        <f t="shared" si="70"/>
        <v>6.5106958585996388E-3</v>
      </c>
      <c r="S90" s="7">
        <f t="shared" si="71"/>
        <v>4.8114874547342196E-4</v>
      </c>
      <c r="T90" s="7">
        <f t="shared" si="72"/>
        <v>5.7342620708130266E-4</v>
      </c>
      <c r="V90" s="5">
        <f t="shared" si="47"/>
        <v>3.7250079260232764E-2</v>
      </c>
      <c r="X90" s="4">
        <f t="shared" si="48"/>
        <v>0.22163331175326595</v>
      </c>
      <c r="Y90" s="4">
        <f t="shared" si="49"/>
        <v>0.32095551509945408</v>
      </c>
      <c r="Z90" s="4">
        <f t="shared" si="50"/>
        <v>0.21808955931217289</v>
      </c>
      <c r="AA90" s="4">
        <f t="shared" si="51"/>
        <v>0.22523672053261901</v>
      </c>
      <c r="AC90" s="4">
        <f t="shared" si="52"/>
        <v>7.1917875925375505E-2</v>
      </c>
      <c r="AD90" s="4">
        <f t="shared" si="53"/>
        <v>9.6353782407811214E-2</v>
      </c>
      <c r="AE90" s="4">
        <f t="shared" si="54"/>
        <v>0.16297975684959626</v>
      </c>
      <c r="AF90" s="4">
        <f t="shared" si="55"/>
        <v>8.100763671412245E-2</v>
      </c>
      <c r="AH90" s="4">
        <f t="shared" si="56"/>
        <v>4.6325345710735495E-2</v>
      </c>
      <c r="AI90" s="4">
        <f t="shared" si="57"/>
        <v>0.19819748681695223</v>
      </c>
      <c r="AJ90" s="4">
        <f t="shared" si="58"/>
        <v>0.10665075452036436</v>
      </c>
      <c r="AK90" s="4">
        <f t="shared" si="59"/>
        <v>5.239256984604141E-2</v>
      </c>
      <c r="AM90" s="4">
        <f t="shared" si="60"/>
        <v>0.11824322163611101</v>
      </c>
      <c r="AN90" s="4">
        <f t="shared" si="61"/>
        <v>0.29455126922476343</v>
      </c>
      <c r="AO90" s="4">
        <f t="shared" si="62"/>
        <v>0.26963051136996063</v>
      </c>
      <c r="AP90" s="4">
        <f t="shared" si="63"/>
        <v>0.13340020656016385</v>
      </c>
      <c r="AR90" s="4">
        <f t="shared" si="64"/>
        <v>8.3512998633458345E-4</v>
      </c>
      <c r="AS90" s="4">
        <f t="shared" si="65"/>
        <v>4.0158556782155343E-4</v>
      </c>
      <c r="AT90" s="4">
        <f t="shared" si="66"/>
        <v>4.5258397524989219E-3</v>
      </c>
      <c r="AV90" s="5">
        <f t="shared" si="67"/>
        <v>5.7625553066550581E-3</v>
      </c>
    </row>
    <row r="91" spans="1:48">
      <c r="A91" s="4">
        <v>8800</v>
      </c>
      <c r="B91" s="4">
        <v>6170</v>
      </c>
      <c r="C91" s="4">
        <v>0.435</v>
      </c>
      <c r="D91" s="4">
        <v>36.77428571428571</v>
      </c>
      <c r="E91" s="8">
        <v>1.6</v>
      </c>
      <c r="F91" s="4">
        <v>14.027999999999999</v>
      </c>
      <c r="G91" s="8">
        <v>1.6</v>
      </c>
      <c r="H91" s="4">
        <v>43.223944106366829</v>
      </c>
      <c r="I91" s="8">
        <v>1.6</v>
      </c>
      <c r="K91" s="4">
        <v>90.973169530999996</v>
      </c>
      <c r="L91" s="4">
        <v>15</v>
      </c>
      <c r="M91" s="5">
        <v>9.0268304690000036</v>
      </c>
      <c r="P91" s="7">
        <f t="shared" si="68"/>
        <v>7.3936479761070259E-4</v>
      </c>
      <c r="Q91" s="7">
        <f t="shared" si="69"/>
        <v>2.9103133955408891E-2</v>
      </c>
      <c r="R91" s="7">
        <f t="shared" si="70"/>
        <v>6.5725897408887932E-3</v>
      </c>
      <c r="S91" s="7">
        <f t="shared" si="71"/>
        <v>4.872452506277851E-4</v>
      </c>
      <c r="T91" s="7">
        <f t="shared" si="72"/>
        <v>5.8073948824405872E-4</v>
      </c>
      <c r="V91" s="5">
        <f t="shared" si="47"/>
        <v>3.7483073232780231E-2</v>
      </c>
      <c r="X91" s="4">
        <f t="shared" si="48"/>
        <v>0.21575833704504754</v>
      </c>
      <c r="Y91" s="4">
        <f t="shared" si="49"/>
        <v>0.31899788925740669</v>
      </c>
      <c r="Z91" s="4">
        <f t="shared" si="50"/>
        <v>0.22010929430941029</v>
      </c>
      <c r="AA91" s="4">
        <f t="shared" si="51"/>
        <v>0.23181073247188588</v>
      </c>
      <c r="AC91" s="4">
        <f t="shared" si="52"/>
        <v>7.2627099128871428E-2</v>
      </c>
      <c r="AD91" s="4">
        <f t="shared" si="53"/>
        <v>9.7291371653361297E-2</v>
      </c>
      <c r="AE91" s="4">
        <f t="shared" si="54"/>
        <v>0.16447998826771495</v>
      </c>
      <c r="AF91" s="4">
        <f t="shared" si="55"/>
        <v>8.1803597696592484E-2</v>
      </c>
      <c r="AH91" s="4">
        <f t="shared" si="56"/>
        <v>4.679181361169589E-2</v>
      </c>
      <c r="AI91" s="4">
        <f t="shared" si="57"/>
        <v>0.19972655545549775</v>
      </c>
      <c r="AJ91" s="4">
        <f t="shared" si="58"/>
        <v>0.10768160762301603</v>
      </c>
      <c r="AK91" s="4">
        <f t="shared" si="59"/>
        <v>5.2920872843998899E-2</v>
      </c>
      <c r="AM91" s="4">
        <f t="shared" si="60"/>
        <v>0.11941891274056732</v>
      </c>
      <c r="AN91" s="4">
        <f t="shared" si="61"/>
        <v>0.29701792710885905</v>
      </c>
      <c r="AO91" s="4">
        <f t="shared" si="62"/>
        <v>0.27216159589073097</v>
      </c>
      <c r="AP91" s="4">
        <f t="shared" si="63"/>
        <v>0.13472447054059139</v>
      </c>
      <c r="AR91" s="4">
        <f t="shared" si="64"/>
        <v>8.4343367497239741E-4</v>
      </c>
      <c r="AS91" s="4">
        <f t="shared" si="65"/>
        <v>4.053553452451597E-4</v>
      </c>
      <c r="AT91" s="4">
        <f t="shared" si="66"/>
        <v>4.5659309914451301E-3</v>
      </c>
      <c r="AV91" s="5">
        <f t="shared" si="67"/>
        <v>5.8147200116626871E-3</v>
      </c>
    </row>
    <row r="92" spans="1:48">
      <c r="A92" s="4">
        <v>8900</v>
      </c>
      <c r="B92" s="4">
        <v>6240</v>
      </c>
      <c r="C92" s="4">
        <v>0.44</v>
      </c>
      <c r="D92" s="4">
        <v>37.01428571428572</v>
      </c>
      <c r="E92" s="8">
        <v>1.6</v>
      </c>
      <c r="F92" s="4">
        <v>14.171999999999999</v>
      </c>
      <c r="G92" s="8">
        <v>1.6</v>
      </c>
      <c r="H92" s="4">
        <v>43.663137441909932</v>
      </c>
      <c r="I92" s="8">
        <v>1.6</v>
      </c>
      <c r="K92" s="4">
        <v>90.955866693000004</v>
      </c>
      <c r="L92" s="4">
        <v>15</v>
      </c>
      <c r="M92" s="5">
        <v>9.0441333069999956</v>
      </c>
      <c r="P92" s="7">
        <f t="shared" si="68"/>
        <v>7.3921135257552328E-4</v>
      </c>
      <c r="Q92" s="7">
        <f t="shared" si="69"/>
        <v>2.9207898816046952E-2</v>
      </c>
      <c r="R92" s="7">
        <f t="shared" si="70"/>
        <v>6.6138443237310357E-3</v>
      </c>
      <c r="S92" s="7">
        <f t="shared" si="71"/>
        <v>4.9132105802350806E-4</v>
      </c>
      <c r="T92" s="7">
        <f t="shared" si="72"/>
        <v>5.8562921862107692E-4</v>
      </c>
      <c r="V92" s="5">
        <f t="shared" si="47"/>
        <v>3.7637904768998094E-2</v>
      </c>
      <c r="X92" s="4">
        <f t="shared" si="48"/>
        <v>0.2100120085372702</v>
      </c>
      <c r="Y92" s="4">
        <f t="shared" si="49"/>
        <v>0.31693328699965506</v>
      </c>
      <c r="Z92" s="4">
        <f t="shared" si="50"/>
        <v>0.22202693373007387</v>
      </c>
      <c r="AA92" s="4">
        <f t="shared" si="51"/>
        <v>0.23842222046129191</v>
      </c>
      <c r="AC92" s="4">
        <f t="shared" si="52"/>
        <v>7.3326574525050883E-2</v>
      </c>
      <c r="AD92" s="4">
        <f t="shared" si="53"/>
        <v>9.8215663064301684E-2</v>
      </c>
      <c r="AE92" s="4">
        <f t="shared" si="54"/>
        <v>0.16595713692118266</v>
      </c>
      <c r="AF92" s="4">
        <f t="shared" si="55"/>
        <v>8.2588373796704848E-2</v>
      </c>
      <c r="AH92" s="4">
        <f t="shared" si="56"/>
        <v>4.725200554487563E-2</v>
      </c>
      <c r="AI92" s="4">
        <f t="shared" si="57"/>
        <v>0.20119034229724878</v>
      </c>
      <c r="AJ92" s="4">
        <f t="shared" si="58"/>
        <v>0.10869764445379886</v>
      </c>
      <c r="AK92" s="4">
        <f t="shared" si="59"/>
        <v>5.3442173564801916E-2</v>
      </c>
      <c r="AM92" s="4">
        <f t="shared" si="60"/>
        <v>0.12057858006992651</v>
      </c>
      <c r="AN92" s="4">
        <f t="shared" si="61"/>
        <v>0.29940600536155049</v>
      </c>
      <c r="AO92" s="4">
        <f t="shared" si="62"/>
        <v>0.2746547813749815</v>
      </c>
      <c r="AP92" s="4">
        <f t="shared" si="63"/>
        <v>0.13603054736150677</v>
      </c>
      <c r="AR92" s="4">
        <f t="shared" si="64"/>
        <v>8.5162419065287211E-4</v>
      </c>
      <c r="AS92" s="4">
        <f t="shared" si="65"/>
        <v>4.090686761411703E-4</v>
      </c>
      <c r="AT92" s="4">
        <f t="shared" si="66"/>
        <v>4.6049988643934829E-3</v>
      </c>
      <c r="AV92" s="5">
        <f t="shared" si="67"/>
        <v>5.8656917311875256E-3</v>
      </c>
    </row>
    <row r="93" spans="1:48">
      <c r="A93" s="4">
        <v>9000</v>
      </c>
      <c r="B93" s="4">
        <v>6310</v>
      </c>
      <c r="C93" s="4">
        <v>0.44500000000000001</v>
      </c>
      <c r="D93" s="4">
        <v>37.252857142857138</v>
      </c>
      <c r="E93" s="8">
        <v>1.6</v>
      </c>
      <c r="F93" s="4">
        <v>14.316000000000001</v>
      </c>
      <c r="G93" s="8">
        <v>1.6</v>
      </c>
      <c r="H93" s="4">
        <v>44.102330777453027</v>
      </c>
      <c r="I93" s="8">
        <v>1.6</v>
      </c>
      <c r="K93" s="4">
        <v>90.938654209999996</v>
      </c>
      <c r="L93" s="4">
        <v>15</v>
      </c>
      <c r="M93" s="5">
        <v>9.0613457900000043</v>
      </c>
      <c r="P93" s="7">
        <f t="shared" si="68"/>
        <v>7.3904756199128798E-4</v>
      </c>
      <c r="Q93" s="7">
        <f t="shared" si="69"/>
        <v>2.9312264940980558E-2</v>
      </c>
      <c r="R93" s="7">
        <f t="shared" si="70"/>
        <v>6.6550922144934443E-3</v>
      </c>
      <c r="S93" s="7">
        <f t="shared" si="71"/>
        <v>4.9540597930641664E-4</v>
      </c>
      <c r="T93" s="7">
        <f t="shared" si="72"/>
        <v>5.9053024221064751E-4</v>
      </c>
      <c r="V93" s="5">
        <f t="shared" si="47"/>
        <v>3.7792340938982351E-2</v>
      </c>
      <c r="X93" s="4">
        <f t="shared" si="48"/>
        <v>0.20439363613961625</v>
      </c>
      <c r="Y93" s="4">
        <f t="shared" si="49"/>
        <v>0.31476767363557101</v>
      </c>
      <c r="Z93" s="4">
        <f t="shared" si="50"/>
        <v>0.2238429364013621</v>
      </c>
      <c r="AA93" s="4">
        <f t="shared" si="51"/>
        <v>0.24506795795853442</v>
      </c>
      <c r="AC93" s="4">
        <f t="shared" si="52"/>
        <v>7.4016336015354067E-2</v>
      </c>
      <c r="AD93" s="4">
        <f t="shared" si="53"/>
        <v>9.9126716761085795E-2</v>
      </c>
      <c r="AE93" s="4">
        <f t="shared" si="54"/>
        <v>0.16741137788355392</v>
      </c>
      <c r="AF93" s="4">
        <f t="shared" si="55"/>
        <v>8.3362012160837343E-2</v>
      </c>
      <c r="AH93" s="4">
        <f t="shared" si="56"/>
        <v>4.7705938147796709E-2</v>
      </c>
      <c r="AI93" s="4">
        <f t="shared" si="57"/>
        <v>0.20258976682584567</v>
      </c>
      <c r="AJ93" s="4">
        <f t="shared" si="58"/>
        <v>0.1096989387865439</v>
      </c>
      <c r="AK93" s="4">
        <f t="shared" si="59"/>
        <v>5.3956487792269719E-2</v>
      </c>
      <c r="AM93" s="4">
        <f t="shared" si="60"/>
        <v>0.12172227416315078</v>
      </c>
      <c r="AN93" s="4">
        <f t="shared" si="61"/>
        <v>0.30171648358693148</v>
      </c>
      <c r="AO93" s="4">
        <f t="shared" si="62"/>
        <v>0.27711031667009783</v>
      </c>
      <c r="AP93" s="4">
        <f t="shared" si="63"/>
        <v>0.13731849995310708</v>
      </c>
      <c r="AR93" s="4">
        <f t="shared" si="64"/>
        <v>8.59701890323342E-4</v>
      </c>
      <c r="AS93" s="4">
        <f t="shared" si="65"/>
        <v>4.1272593114092854E-4</v>
      </c>
      <c r="AT93" s="4">
        <f t="shared" si="66"/>
        <v>4.6430543967601844E-3</v>
      </c>
      <c r="AV93" s="5">
        <f t="shared" si="67"/>
        <v>5.9154822182244547E-3</v>
      </c>
    </row>
    <row r="94" spans="1:48">
      <c r="A94" s="4">
        <v>9100</v>
      </c>
      <c r="B94" s="4">
        <v>6380</v>
      </c>
      <c r="C94" s="4">
        <v>0.45</v>
      </c>
      <c r="D94" s="4">
        <v>37.494285714285709</v>
      </c>
      <c r="E94" s="8">
        <v>1.6</v>
      </c>
      <c r="F94" s="4">
        <v>14.459999999999999</v>
      </c>
      <c r="G94" s="8">
        <v>1.6</v>
      </c>
      <c r="H94" s="4">
        <v>44.541524112996136</v>
      </c>
      <c r="I94" s="8">
        <v>1.6</v>
      </c>
      <c r="K94" s="4">
        <v>90.913002851000002</v>
      </c>
      <c r="L94" s="4">
        <v>15</v>
      </c>
      <c r="M94" s="5">
        <v>9.0869971489999983</v>
      </c>
      <c r="P94" s="7">
        <f t="shared" si="68"/>
        <v>7.3878279987118079E-4</v>
      </c>
      <c r="Q94" s="7">
        <f t="shared" si="69"/>
        <v>2.9468072265179043E-2</v>
      </c>
      <c r="R94" s="7">
        <f t="shared" si="70"/>
        <v>6.7169509806268967E-3</v>
      </c>
      <c r="S94" s="7">
        <f t="shared" si="71"/>
        <v>5.0155033422611209E-4</v>
      </c>
      <c r="T94" s="7">
        <f t="shared" si="72"/>
        <v>5.9790281493414565E-4</v>
      </c>
      <c r="V94" s="5">
        <f t="shared" si="47"/>
        <v>3.8023259194837379E-2</v>
      </c>
      <c r="X94" s="4">
        <f t="shared" si="48"/>
        <v>0.19890234602463353</v>
      </c>
      <c r="Y94" s="4">
        <f t="shared" si="49"/>
        <v>0.31250687261678722</v>
      </c>
      <c r="Z94" s="4">
        <f t="shared" si="50"/>
        <v>0.22555789012246452</v>
      </c>
      <c r="AA94" s="4">
        <f t="shared" si="51"/>
        <v>0.25174476544721835</v>
      </c>
      <c r="AC94" s="4">
        <f t="shared" si="52"/>
        <v>7.4696422972506435E-2</v>
      </c>
      <c r="AD94" s="4">
        <f t="shared" si="53"/>
        <v>0.1000245999519938</v>
      </c>
      <c r="AE94" s="4">
        <f t="shared" si="54"/>
        <v>0.16884289592884796</v>
      </c>
      <c r="AF94" s="4">
        <f t="shared" si="55"/>
        <v>8.4124566008670479E-2</v>
      </c>
      <c r="AH94" s="4">
        <f t="shared" si="56"/>
        <v>4.8153631773510119E-2</v>
      </c>
      <c r="AI94" s="4">
        <f t="shared" si="57"/>
        <v>0.20392578331432837</v>
      </c>
      <c r="AJ94" s="4">
        <f t="shared" si="58"/>
        <v>0.11068557208516622</v>
      </c>
      <c r="AK94" s="4">
        <f t="shared" si="59"/>
        <v>5.4463835507684875E-2</v>
      </c>
      <c r="AM94" s="4">
        <f t="shared" si="60"/>
        <v>0.12285005474601655</v>
      </c>
      <c r="AN94" s="4">
        <f t="shared" si="61"/>
        <v>0.30395038326632218</v>
      </c>
      <c r="AO94" s="4">
        <f t="shared" si="62"/>
        <v>0.27952846801401421</v>
      </c>
      <c r="AP94" s="4">
        <f t="shared" si="63"/>
        <v>0.13858840151635535</v>
      </c>
      <c r="AR94" s="4">
        <f t="shared" si="64"/>
        <v>8.676671958159105E-4</v>
      </c>
      <c r="AS94" s="4">
        <f t="shared" si="65"/>
        <v>4.1632750677712452E-4</v>
      </c>
      <c r="AT94" s="4">
        <f t="shared" si="66"/>
        <v>4.6801091654572781E-3</v>
      </c>
      <c r="AV94" s="5">
        <f t="shared" si="67"/>
        <v>5.9641038680503132E-3</v>
      </c>
    </row>
    <row r="95" spans="1:48">
      <c r="A95" s="4">
        <v>9200</v>
      </c>
      <c r="B95" s="4">
        <v>6450</v>
      </c>
      <c r="C95" s="4">
        <v>0.45500000000000002</v>
      </c>
      <c r="D95" s="4">
        <v>37.731428571428573</v>
      </c>
      <c r="E95" s="8">
        <v>1.6</v>
      </c>
      <c r="F95" s="4">
        <v>14.604000000000001</v>
      </c>
      <c r="G95" s="8">
        <v>1.6</v>
      </c>
      <c r="H95" s="4">
        <v>44.980717448539231</v>
      </c>
      <c r="I95" s="8">
        <v>1.6</v>
      </c>
      <c r="K95" s="4">
        <v>90.89601218</v>
      </c>
      <c r="L95" s="4">
        <v>15</v>
      </c>
      <c r="M95" s="5">
        <v>9.1039878200000004</v>
      </c>
      <c r="P95" s="7">
        <f t="shared" si="68"/>
        <v>7.3859378474408022E-4</v>
      </c>
      <c r="Q95" s="7">
        <f t="shared" si="69"/>
        <v>2.957145303442054E-2</v>
      </c>
      <c r="R95" s="7">
        <f t="shared" si="70"/>
        <v>6.7581811009260898E-3</v>
      </c>
      <c r="S95" s="7">
        <f t="shared" si="71"/>
        <v>5.0565780967530257E-4</v>
      </c>
      <c r="T95" s="7">
        <f t="shared" si="72"/>
        <v>6.0283179730781533E-4</v>
      </c>
      <c r="V95" s="5">
        <f t="shared" si="47"/>
        <v>3.8176717527073835E-2</v>
      </c>
      <c r="X95" s="4">
        <f t="shared" si="48"/>
        <v>0.19353709849170653</v>
      </c>
      <c r="Y95" s="4">
        <f t="shared" si="49"/>
        <v>0.31015656142035986</v>
      </c>
      <c r="Z95" s="4">
        <f t="shared" si="50"/>
        <v>0.22717250391834731</v>
      </c>
      <c r="AA95" s="4">
        <f t="shared" si="51"/>
        <v>0.25844951338556099</v>
      </c>
      <c r="AC95" s="4">
        <f t="shared" si="52"/>
        <v>7.5366879919089788E-2</v>
      </c>
      <c r="AD95" s="4">
        <f t="shared" si="53"/>
        <v>0.10090938648342472</v>
      </c>
      <c r="AE95" s="4">
        <f t="shared" si="54"/>
        <v>0.17025188475461814</v>
      </c>
      <c r="AF95" s="4">
        <f t="shared" si="55"/>
        <v>8.4876094254013254E-2</v>
      </c>
      <c r="AH95" s="4">
        <f t="shared" si="56"/>
        <v>4.8595110281290002E-2</v>
      </c>
      <c r="AI95" s="4">
        <f t="shared" si="57"/>
        <v>0.20519937660980131</v>
      </c>
      <c r="AJ95" s="4">
        <f t="shared" si="58"/>
        <v>0.11165763299912201</v>
      </c>
      <c r="AK95" s="4">
        <f t="shared" si="59"/>
        <v>5.4964240660378402E-2</v>
      </c>
      <c r="AM95" s="4">
        <f t="shared" si="60"/>
        <v>0.12396199020037979</v>
      </c>
      <c r="AN95" s="4">
        <f t="shared" si="61"/>
        <v>0.30610876309322604</v>
      </c>
      <c r="AO95" s="4">
        <f t="shared" si="62"/>
        <v>0.28190951775374018</v>
      </c>
      <c r="AP95" s="4">
        <f t="shared" si="63"/>
        <v>0.13984033491439166</v>
      </c>
      <c r="AR95" s="4">
        <f t="shared" si="64"/>
        <v>8.7552059009896781E-4</v>
      </c>
      <c r="AS95" s="4">
        <f t="shared" si="65"/>
        <v>4.1987382357517862E-4</v>
      </c>
      <c r="AT95" s="4">
        <f t="shared" si="66"/>
        <v>4.7161752431208685E-3</v>
      </c>
      <c r="AV95" s="5">
        <f t="shared" si="67"/>
        <v>6.0115696567950155E-3</v>
      </c>
    </row>
    <row r="96" spans="1:48">
      <c r="A96" s="4">
        <v>9300</v>
      </c>
      <c r="B96" s="4">
        <v>6520</v>
      </c>
      <c r="C96" s="4">
        <v>0.46</v>
      </c>
      <c r="D96" s="4">
        <v>37.967142857142854</v>
      </c>
      <c r="E96" s="8">
        <v>1.6</v>
      </c>
      <c r="F96" s="4">
        <v>14.747999999999999</v>
      </c>
      <c r="G96" s="8">
        <v>1.6</v>
      </c>
      <c r="H96" s="4">
        <v>45.419910784082333</v>
      </c>
      <c r="I96" s="8">
        <v>1.6</v>
      </c>
      <c r="K96" s="4">
        <v>90.870689265999999</v>
      </c>
      <c r="L96" s="4">
        <v>15</v>
      </c>
      <c r="M96" s="5">
        <v>9.1293107340000006</v>
      </c>
      <c r="P96" s="7">
        <f t="shared" si="68"/>
        <v>7.382918547747168E-4</v>
      </c>
      <c r="Q96" s="7">
        <f t="shared" si="69"/>
        <v>2.9725794465410689E-2</v>
      </c>
      <c r="R96" s="7">
        <f t="shared" si="70"/>
        <v>6.8200121277888996E-3</v>
      </c>
      <c r="S96" s="7">
        <f t="shared" si="71"/>
        <v>5.1183575228550037E-4</v>
      </c>
      <c r="T96" s="7">
        <f t="shared" si="72"/>
        <v>6.1024601844373108E-4</v>
      </c>
      <c r="V96" s="5">
        <f t="shared" si="47"/>
        <v>3.8406180218703539E-2</v>
      </c>
      <c r="X96" s="4">
        <f t="shared" si="48"/>
        <v>0.18829670462592785</v>
      </c>
      <c r="Y96" s="4">
        <f t="shared" si="49"/>
        <v>0.30772226821220794</v>
      </c>
      <c r="Z96" s="4">
        <f t="shared" si="50"/>
        <v>0.22868760046600101</v>
      </c>
      <c r="AA96" s="4">
        <f t="shared" si="51"/>
        <v>0.26517912488843298</v>
      </c>
      <c r="AC96" s="4">
        <f t="shared" si="52"/>
        <v>7.6027756216938899E-2</v>
      </c>
      <c r="AD96" s="4">
        <f t="shared" si="53"/>
        <v>0.10178115640694432</v>
      </c>
      <c r="AE96" s="4">
        <f t="shared" si="54"/>
        <v>0.17163854624119715</v>
      </c>
      <c r="AF96" s="4">
        <f t="shared" si="55"/>
        <v>8.5616661139684275E-2</v>
      </c>
      <c r="AH96" s="4">
        <f t="shared" si="56"/>
        <v>4.9030400834131793E-2</v>
      </c>
      <c r="AI96" s="4">
        <f t="shared" si="57"/>
        <v>0.20641155820444118</v>
      </c>
      <c r="AJ96" s="4">
        <f t="shared" si="58"/>
        <v>0.11261521687841283</v>
      </c>
      <c r="AK96" s="4">
        <f t="shared" si="59"/>
        <v>5.5457730945371805E-2</v>
      </c>
      <c r="AM96" s="4">
        <f t="shared" si="60"/>
        <v>0.12505815705107071</v>
      </c>
      <c r="AN96" s="4">
        <f t="shared" si="61"/>
        <v>0.30819271461138553</v>
      </c>
      <c r="AO96" s="4">
        <f t="shared" si="62"/>
        <v>0.28425376311960998</v>
      </c>
      <c r="AP96" s="4">
        <f t="shared" si="63"/>
        <v>0.14107439208505607</v>
      </c>
      <c r="AR96" s="4">
        <f t="shared" si="64"/>
        <v>8.8326261365322416E-4</v>
      </c>
      <c r="AS96" s="4">
        <f t="shared" si="65"/>
        <v>4.2336532422761831E-4</v>
      </c>
      <c r="AT96" s="4">
        <f t="shared" si="66"/>
        <v>4.7512651457680619E-3</v>
      </c>
      <c r="AV96" s="5">
        <f t="shared" si="67"/>
        <v>6.0578930836489037E-3</v>
      </c>
    </row>
    <row r="97" spans="1:48">
      <c r="A97" s="4">
        <v>9400</v>
      </c>
      <c r="B97" s="4">
        <v>6590</v>
      </c>
      <c r="C97" s="4">
        <v>0.46500000000000002</v>
      </c>
      <c r="D97" s="4">
        <v>38.204285714285717</v>
      </c>
      <c r="E97" s="8">
        <v>1.6</v>
      </c>
      <c r="F97" s="4">
        <v>14.891999999999999</v>
      </c>
      <c r="G97" s="8">
        <v>1.6</v>
      </c>
      <c r="H97" s="4">
        <v>45.859104119625428</v>
      </c>
      <c r="I97" s="8">
        <v>1.6</v>
      </c>
      <c r="K97" s="4">
        <v>90.853914762000002</v>
      </c>
      <c r="L97" s="4">
        <v>15</v>
      </c>
      <c r="M97" s="5">
        <v>9.1460852379999977</v>
      </c>
      <c r="P97" s="7">
        <f t="shared" si="68"/>
        <v>7.38078498505213E-4</v>
      </c>
      <c r="Q97" s="7">
        <f t="shared" si="69"/>
        <v>2.982820596407406E-2</v>
      </c>
      <c r="R97" s="7">
        <f t="shared" si="70"/>
        <v>6.861223043992417E-3</v>
      </c>
      <c r="S97" s="7">
        <f t="shared" si="71"/>
        <v>5.1596545847540896E-4</v>
      </c>
      <c r="T97" s="7">
        <f t="shared" si="72"/>
        <v>6.1520257479020905E-4</v>
      </c>
      <c r="V97" s="5">
        <f t="shared" si="47"/>
        <v>3.8558675539837307E-2</v>
      </c>
      <c r="X97" s="4">
        <f t="shared" si="48"/>
        <v>0.18317984181609093</v>
      </c>
      <c r="Y97" s="4">
        <f t="shared" si="49"/>
        <v>0.30520936923019082</v>
      </c>
      <c r="Z97" s="4">
        <f t="shared" si="50"/>
        <v>0.23010410870604048</v>
      </c>
      <c r="AA97" s="4">
        <f t="shared" si="51"/>
        <v>0.27193057815325128</v>
      </c>
      <c r="AC97" s="4">
        <f t="shared" si="52"/>
        <v>7.6679105767377201E-2</v>
      </c>
      <c r="AD97" s="4">
        <f t="shared" si="53"/>
        <v>0.10263999556297154</v>
      </c>
      <c r="AE97" s="4">
        <f t="shared" si="54"/>
        <v>0.17300308974626524</v>
      </c>
      <c r="AF97" s="4">
        <f t="shared" si="55"/>
        <v>8.6346335886339221E-2</v>
      </c>
      <c r="AH97" s="4">
        <f t="shared" si="56"/>
        <v>4.9459533703072711E-2</v>
      </c>
      <c r="AI97" s="4">
        <f t="shared" si="57"/>
        <v>0.20756336257910959</v>
      </c>
      <c r="AJ97" s="4">
        <f t="shared" si="58"/>
        <v>0.1135584253079383</v>
      </c>
      <c r="AK97" s="4">
        <f t="shared" si="59"/>
        <v>5.5944337588136432E-2</v>
      </c>
      <c r="AM97" s="4">
        <f t="shared" si="60"/>
        <v>0.1261386394704499</v>
      </c>
      <c r="AN97" s="4">
        <f t="shared" si="61"/>
        <v>0.31020335814208111</v>
      </c>
      <c r="AO97" s="4">
        <f t="shared" si="62"/>
        <v>0.28656151505420357</v>
      </c>
      <c r="AP97" s="4">
        <f t="shared" si="63"/>
        <v>0.14229067347447566</v>
      </c>
      <c r="AR97" s="4">
        <f t="shared" si="64"/>
        <v>8.9089386097248138E-4</v>
      </c>
      <c r="AS97" s="4">
        <f t="shared" si="65"/>
        <v>4.2680247184988224E-4</v>
      </c>
      <c r="AT97" s="4">
        <f t="shared" si="66"/>
        <v>4.7853917837356024E-3</v>
      </c>
      <c r="AV97" s="5">
        <f t="shared" si="67"/>
        <v>6.103088116557966E-3</v>
      </c>
    </row>
    <row r="98" spans="1:48">
      <c r="A98" s="4">
        <v>9500</v>
      </c>
      <c r="B98" s="4">
        <v>6660</v>
      </c>
      <c r="C98" s="4">
        <v>0.47</v>
      </c>
      <c r="D98" s="4">
        <v>38.43571428571429</v>
      </c>
      <c r="E98" s="8">
        <v>1.6</v>
      </c>
      <c r="F98" s="4">
        <v>15.035999999999998</v>
      </c>
      <c r="G98" s="8">
        <v>1.6</v>
      </c>
      <c r="H98" s="4">
        <v>46.298297455168537</v>
      </c>
      <c r="I98" s="8">
        <v>1.6</v>
      </c>
      <c r="K98" s="4">
        <v>90.837225192000005</v>
      </c>
      <c r="L98" s="4">
        <v>15</v>
      </c>
      <c r="M98" s="5">
        <v>9.1627748079999947</v>
      </c>
      <c r="P98" s="7">
        <f t="shared" si="68"/>
        <v>7.378556450459401E-4</v>
      </c>
      <c r="Q98" s="7">
        <f t="shared" si="69"/>
        <v>2.9930234171048335E-2</v>
      </c>
      <c r="R98" s="7">
        <f t="shared" si="70"/>
        <v>6.9024258914566188E-3</v>
      </c>
      <c r="S98" s="7">
        <f t="shared" si="71"/>
        <v>5.2010396803770106E-4</v>
      </c>
      <c r="T98" s="7">
        <f t="shared" si="72"/>
        <v>6.2017005490011253E-4</v>
      </c>
      <c r="V98" s="5">
        <f t="shared" si="47"/>
        <v>3.8710789730488707E-2</v>
      </c>
      <c r="X98" s="4">
        <f t="shared" si="48"/>
        <v>0.17818506819393776</v>
      </c>
      <c r="Y98" s="4">
        <f t="shared" si="49"/>
        <v>0.30262308682927019</v>
      </c>
      <c r="Z98" s="4">
        <f t="shared" si="50"/>
        <v>0.23142305665055096</v>
      </c>
      <c r="AA98" s="4">
        <f t="shared" si="51"/>
        <v>0.2787009086403075</v>
      </c>
      <c r="AC98" s="4">
        <f t="shared" si="52"/>
        <v>7.7320986722261398E-2</v>
      </c>
      <c r="AD98" s="4">
        <f t="shared" si="53"/>
        <v>0.10348599518092826</v>
      </c>
      <c r="AE98" s="4">
        <f t="shared" si="54"/>
        <v>0.17434573143382442</v>
      </c>
      <c r="AF98" s="4">
        <f t="shared" si="55"/>
        <v>8.7065192355090928E-2</v>
      </c>
      <c r="AH98" s="4">
        <f t="shared" si="56"/>
        <v>4.988254207832489E-2</v>
      </c>
      <c r="AI98" s="4">
        <f t="shared" si="57"/>
        <v>0.20865584380587679</v>
      </c>
      <c r="AJ98" s="4">
        <f t="shared" si="58"/>
        <v>0.11448736566094161</v>
      </c>
      <c r="AK98" s="4">
        <f t="shared" si="59"/>
        <v>5.6424095136496467E-2</v>
      </c>
      <c r="AM98" s="4">
        <f t="shared" si="60"/>
        <v>0.12720352880058627</v>
      </c>
      <c r="AN98" s="4">
        <f t="shared" si="61"/>
        <v>0.31214183898680503</v>
      </c>
      <c r="AO98" s="4">
        <f t="shared" si="62"/>
        <v>0.28883309709476601</v>
      </c>
      <c r="AP98" s="4">
        <f t="shared" si="63"/>
        <v>0.1434892874915874</v>
      </c>
      <c r="AR98" s="4">
        <f t="shared" si="64"/>
        <v>8.9841497718886362E-4</v>
      </c>
      <c r="AS98" s="4">
        <f t="shared" si="65"/>
        <v>4.3018574831580426E-4</v>
      </c>
      <c r="AT98" s="4">
        <f t="shared" si="66"/>
        <v>4.818568415752152E-3</v>
      </c>
      <c r="AV98" s="5">
        <f t="shared" si="67"/>
        <v>6.1471691412568197E-3</v>
      </c>
    </row>
    <row r="99" spans="1:48">
      <c r="A99" s="4">
        <v>9600</v>
      </c>
      <c r="B99" s="4">
        <v>6730</v>
      </c>
      <c r="C99" s="4">
        <v>0.47499999999999998</v>
      </c>
      <c r="D99" s="4">
        <v>38.668571428571433</v>
      </c>
      <c r="E99" s="8">
        <v>1.6</v>
      </c>
      <c r="F99" s="4">
        <v>15.18</v>
      </c>
      <c r="G99" s="8">
        <v>1.6</v>
      </c>
      <c r="H99" s="4">
        <v>46.737490790711639</v>
      </c>
      <c r="I99" s="8">
        <v>1.6</v>
      </c>
      <c r="K99" s="4">
        <v>90.812348221999997</v>
      </c>
      <c r="L99" s="4">
        <v>15</v>
      </c>
      <c r="M99" s="5">
        <v>9.1876517780000029</v>
      </c>
      <c r="P99" s="7">
        <f t="shared" si="68"/>
        <v>7.3750384884464261E-4</v>
      </c>
      <c r="Q99" s="7">
        <f t="shared" si="69"/>
        <v>3.0082563225341304E-2</v>
      </c>
      <c r="R99" s="7">
        <f t="shared" si="70"/>
        <v>6.9642145564797553E-3</v>
      </c>
      <c r="S99" s="7">
        <f t="shared" si="71"/>
        <v>5.2632812842140985E-4</v>
      </c>
      <c r="T99" s="7">
        <f t="shared" si="72"/>
        <v>6.2764162584509045E-4</v>
      </c>
      <c r="V99" s="5">
        <f t="shared" si="47"/>
        <v>3.8938251384932204E-2</v>
      </c>
      <c r="X99" s="4">
        <f t="shared" si="48"/>
        <v>0.1733108360546235</v>
      </c>
      <c r="Y99" s="4">
        <f t="shared" si="49"/>
        <v>0.29996848813424282</v>
      </c>
      <c r="Z99" s="4">
        <f t="shared" si="50"/>
        <v>0.23264556439620288</v>
      </c>
      <c r="AA99" s="4">
        <f t="shared" si="51"/>
        <v>0.28548721101814278</v>
      </c>
      <c r="AC99" s="4">
        <f t="shared" si="52"/>
        <v>7.7953461205764601E-2</v>
      </c>
      <c r="AD99" s="4">
        <f t="shared" si="53"/>
        <v>0.10431925149563061</v>
      </c>
      <c r="AE99" s="4">
        <f t="shared" si="54"/>
        <v>0.17566669363661261</v>
      </c>
      <c r="AF99" s="4">
        <f t="shared" si="55"/>
        <v>8.7773308723729279E-2</v>
      </c>
      <c r="AH99" s="4">
        <f t="shared" si="56"/>
        <v>5.0299461887186446E-2</v>
      </c>
      <c r="AI99" s="4">
        <f t="shared" si="57"/>
        <v>0.20969007239589674</v>
      </c>
      <c r="AJ99" s="4">
        <f t="shared" si="58"/>
        <v>0.11540215067123724</v>
      </c>
      <c r="AK99" s="4">
        <f t="shared" si="59"/>
        <v>5.6897041259672765E-2</v>
      </c>
      <c r="AM99" s="4">
        <f t="shared" si="60"/>
        <v>0.12825292309295105</v>
      </c>
      <c r="AN99" s="4">
        <f t="shared" si="61"/>
        <v>0.31400932389152736</v>
      </c>
      <c r="AO99" s="4">
        <f t="shared" si="62"/>
        <v>0.29106884430784985</v>
      </c>
      <c r="AP99" s="4">
        <f t="shared" si="63"/>
        <v>0.14467034998340206</v>
      </c>
      <c r="AR99" s="4">
        <f t="shared" si="64"/>
        <v>9.0582665482176179E-4</v>
      </c>
      <c r="AS99" s="4">
        <f t="shared" si="65"/>
        <v>4.3351565267087848E-4</v>
      </c>
      <c r="AT99" s="4">
        <f t="shared" si="66"/>
        <v>4.8508086059964265E-3</v>
      </c>
      <c r="AV99" s="5">
        <f t="shared" si="67"/>
        <v>6.1901509134890667E-3</v>
      </c>
    </row>
    <row r="100" spans="1:48">
      <c r="A100" s="4">
        <v>9700</v>
      </c>
      <c r="B100" s="4">
        <v>6800</v>
      </c>
      <c r="C100" s="4">
        <v>0.48</v>
      </c>
      <c r="D100" s="4">
        <v>38.9</v>
      </c>
      <c r="E100" s="8">
        <v>1.6</v>
      </c>
      <c r="F100" s="4">
        <v>15.324</v>
      </c>
      <c r="G100" s="8">
        <v>1.6</v>
      </c>
      <c r="H100" s="4">
        <v>47.176684126254735</v>
      </c>
      <c r="I100" s="8">
        <v>1.6</v>
      </c>
      <c r="K100" s="4">
        <v>90.795867271999995</v>
      </c>
      <c r="L100" s="4">
        <v>15</v>
      </c>
      <c r="M100" s="5">
        <v>9.2041327280000047</v>
      </c>
      <c r="P100" s="7">
        <f t="shared" si="68"/>
        <v>7.3725783125801561E-4</v>
      </c>
      <c r="Q100" s="7">
        <f t="shared" si="69"/>
        <v>3.0183644016450312E-2</v>
      </c>
      <c r="R100" s="7">
        <f t="shared" si="70"/>
        <v>7.0053962923471887E-3</v>
      </c>
      <c r="S100" s="7">
        <f t="shared" si="71"/>
        <v>5.3048842744108998E-4</v>
      </c>
      <c r="T100" s="7">
        <f t="shared" si="72"/>
        <v>6.3263615470397089E-4</v>
      </c>
      <c r="V100" s="5">
        <f t="shared" si="47"/>
        <v>3.9089422722200583E-2</v>
      </c>
      <c r="X100" s="4">
        <f t="shared" si="48"/>
        <v>0.16855550431610145</v>
      </c>
      <c r="Y100" s="4">
        <f t="shared" si="49"/>
        <v>0.29725048424852807</v>
      </c>
      <c r="Z100" s="4">
        <f t="shared" si="50"/>
        <v>0.23377283734996301</v>
      </c>
      <c r="AA100" s="4">
        <f t="shared" si="51"/>
        <v>0.29228664088453482</v>
      </c>
      <c r="AC100" s="4">
        <f t="shared" si="52"/>
        <v>7.8576595046793152E-2</v>
      </c>
      <c r="AD100" s="4">
        <f t="shared" si="53"/>
        <v>0.1051398653796556</v>
      </c>
      <c r="AE100" s="4">
        <f t="shared" si="54"/>
        <v>0.17696620425094861</v>
      </c>
      <c r="AF100" s="4">
        <f t="shared" si="55"/>
        <v>8.8470767176314122E-2</v>
      </c>
      <c r="AH100" s="4">
        <f t="shared" si="56"/>
        <v>5.0710331618673367E-2</v>
      </c>
      <c r="AI100" s="4">
        <f t="shared" si="57"/>
        <v>0.21066713237931156</v>
      </c>
      <c r="AJ100" s="4">
        <f t="shared" si="58"/>
        <v>0.11630289802386877</v>
      </c>
      <c r="AK100" s="4">
        <f t="shared" si="59"/>
        <v>5.7363216554436713E-2</v>
      </c>
      <c r="AM100" s="4">
        <f t="shared" si="60"/>
        <v>0.12928692666546651</v>
      </c>
      <c r="AN100" s="4">
        <f t="shared" si="61"/>
        <v>0.31580699775896715</v>
      </c>
      <c r="AO100" s="4">
        <f t="shared" si="62"/>
        <v>0.29326910227481739</v>
      </c>
      <c r="AP100" s="4">
        <f t="shared" si="63"/>
        <v>0.14583398373075085</v>
      </c>
      <c r="AR100" s="4">
        <f t="shared" si="64"/>
        <v>9.131296306493506E-4</v>
      </c>
      <c r="AS100" s="4">
        <f t="shared" si="65"/>
        <v>4.3679269962127419E-4</v>
      </c>
      <c r="AT100" s="4">
        <f t="shared" si="66"/>
        <v>4.8821261839947401E-3</v>
      </c>
      <c r="AV100" s="5">
        <f t="shared" si="67"/>
        <v>6.2320485142653651E-3</v>
      </c>
    </row>
    <row r="101" spans="1:48">
      <c r="A101" s="4">
        <v>9800</v>
      </c>
      <c r="B101" s="4">
        <v>6870</v>
      </c>
      <c r="C101" s="4">
        <v>0.48499999999999999</v>
      </c>
      <c r="D101" s="4">
        <v>39.131428571428572</v>
      </c>
      <c r="E101" s="8">
        <v>1.6</v>
      </c>
      <c r="F101" s="4">
        <v>15.468</v>
      </c>
      <c r="G101" s="8">
        <v>1.6</v>
      </c>
      <c r="H101" s="4">
        <v>47.615877461797837</v>
      </c>
      <c r="I101" s="8">
        <v>1.6</v>
      </c>
      <c r="K101" s="4">
        <v>90.779468317999999</v>
      </c>
      <c r="L101" s="4">
        <v>15</v>
      </c>
      <c r="M101" s="5">
        <v>9.2205316820000007</v>
      </c>
      <c r="P101" s="7">
        <f t="shared" si="68"/>
        <v>7.3700277396889554E-4</v>
      </c>
      <c r="Q101" s="7">
        <f t="shared" si="69"/>
        <v>3.0284350098976801E-2</v>
      </c>
      <c r="R101" s="7">
        <f t="shared" si="70"/>
        <v>7.0465692154573246E-3</v>
      </c>
      <c r="S101" s="7">
        <f t="shared" si="71"/>
        <v>5.3465735559731593E-4</v>
      </c>
      <c r="T101" s="7">
        <f t="shared" si="72"/>
        <v>6.3764139990134055E-4</v>
      </c>
      <c r="V101" s="5">
        <f t="shared" si="47"/>
        <v>3.9240220843901684E-2</v>
      </c>
      <c r="X101" s="4">
        <f t="shared" si="48"/>
        <v>0.16391735007283681</v>
      </c>
      <c r="Y101" s="4">
        <f t="shared" si="49"/>
        <v>0.29447382997041016</v>
      </c>
      <c r="Z101" s="4">
        <f t="shared" si="50"/>
        <v>0.23480615967316232</v>
      </c>
      <c r="AA101" s="4">
        <f t="shared" si="51"/>
        <v>0.29909641627359362</v>
      </c>
      <c r="AC101" s="4">
        <f t="shared" si="52"/>
        <v>7.9190457521901361E-2</v>
      </c>
      <c r="AD101" s="4">
        <f t="shared" si="53"/>
        <v>0.10594794199138206</v>
      </c>
      <c r="AE101" s="4">
        <f t="shared" si="54"/>
        <v>0.17824449616297147</v>
      </c>
      <c r="AF101" s="4">
        <f t="shared" si="55"/>
        <v>8.9157653605885165E-2</v>
      </c>
      <c r="AH101" s="4">
        <f t="shared" si="56"/>
        <v>5.1115192154795555E-2</v>
      </c>
      <c r="AI101" s="4">
        <f t="shared" si="57"/>
        <v>0.21158811860416143</v>
      </c>
      <c r="AJ101" s="4">
        <f t="shared" si="58"/>
        <v>0.11718972996380594</v>
      </c>
      <c r="AK101" s="4">
        <f t="shared" si="59"/>
        <v>5.7822664358320744E-2</v>
      </c>
      <c r="AM101" s="4">
        <f t="shared" si="60"/>
        <v>0.13030564967669692</v>
      </c>
      <c r="AN101" s="4">
        <f t="shared" si="61"/>
        <v>0.31753606059554351</v>
      </c>
      <c r="AO101" s="4">
        <f t="shared" si="62"/>
        <v>0.29543422612677739</v>
      </c>
      <c r="AP101" s="4">
        <f t="shared" si="63"/>
        <v>0.14698031796420591</v>
      </c>
      <c r="AR101" s="4">
        <f t="shared" si="64"/>
        <v>9.2032468270117796E-4</v>
      </c>
      <c r="AS101" s="4">
        <f t="shared" si="65"/>
        <v>4.4001741809647792E-4</v>
      </c>
      <c r="AT101" s="4">
        <f t="shared" si="66"/>
        <v>4.9125352072137826E-3</v>
      </c>
      <c r="AV101" s="5">
        <f t="shared" si="67"/>
        <v>6.272877308011438E-3</v>
      </c>
    </row>
    <row r="102" spans="1:48">
      <c r="A102" s="4">
        <v>9900</v>
      </c>
      <c r="B102" s="4">
        <v>6940</v>
      </c>
      <c r="C102" s="4">
        <v>0.49</v>
      </c>
      <c r="D102" s="4">
        <v>39.360000000000007</v>
      </c>
      <c r="E102" s="8">
        <v>1.6</v>
      </c>
      <c r="F102" s="4">
        <v>15.612</v>
      </c>
      <c r="G102" s="8">
        <v>1.6</v>
      </c>
      <c r="H102" s="4">
        <v>48.055070797340932</v>
      </c>
      <c r="I102" s="8">
        <v>1.6</v>
      </c>
      <c r="K102" s="4">
        <v>90.763150546999995</v>
      </c>
      <c r="L102" s="4">
        <v>15</v>
      </c>
      <c r="M102" s="5">
        <v>9.2368494530000049</v>
      </c>
      <c r="P102" s="7">
        <f t="shared" si="68"/>
        <v>7.3673880294973743E-4</v>
      </c>
      <c r="Q102" s="7">
        <f t="shared" si="69"/>
        <v>3.03846838814372E-2</v>
      </c>
      <c r="R102" s="7">
        <f t="shared" si="70"/>
        <v>7.0877331252681792E-3</v>
      </c>
      <c r="S102" s="7">
        <f t="shared" si="71"/>
        <v>5.3883486446248095E-4</v>
      </c>
      <c r="T102" s="7">
        <f t="shared" si="72"/>
        <v>6.4265730377372919E-4</v>
      </c>
      <c r="V102" s="5">
        <f t="shared" si="47"/>
        <v>3.9390647977891324E-2</v>
      </c>
      <c r="X102" s="4">
        <f t="shared" si="48"/>
        <v>0.15939457929692846</v>
      </c>
      <c r="Y102" s="4">
        <f t="shared" si="49"/>
        <v>0.29164312397097902</v>
      </c>
      <c r="Z102" s="4">
        <f t="shared" si="50"/>
        <v>0.23574688794825893</v>
      </c>
      <c r="AA102" s="4">
        <f t="shared" si="51"/>
        <v>0.30591381895935033</v>
      </c>
      <c r="AC102" s="4">
        <f t="shared" si="52"/>
        <v>7.9795121108543116E-2</v>
      </c>
      <c r="AD102" s="4">
        <f t="shared" si="53"/>
        <v>0.10674359043837506</v>
      </c>
      <c r="AE102" s="4">
        <f t="shared" si="54"/>
        <v>0.17950180670521795</v>
      </c>
      <c r="AF102" s="4">
        <f t="shared" si="55"/>
        <v>8.9834057330009903E-2</v>
      </c>
      <c r="AH102" s="4">
        <f t="shared" si="56"/>
        <v>5.1514086608384371E-2</v>
      </c>
      <c r="AI102" s="4">
        <f t="shared" si="57"/>
        <v>0.2124541342416448</v>
      </c>
      <c r="AJ102" s="4">
        <f t="shared" si="58"/>
        <v>0.1180627729222601</v>
      </c>
      <c r="AK102" s="4">
        <f t="shared" si="59"/>
        <v>5.8275430569811028E-2</v>
      </c>
      <c r="AM102" s="4">
        <f t="shared" si="60"/>
        <v>0.1313092077169275</v>
      </c>
      <c r="AN102" s="4">
        <f t="shared" si="61"/>
        <v>0.31919772468001983</v>
      </c>
      <c r="AO102" s="4">
        <f t="shared" si="62"/>
        <v>0.29756457962747807</v>
      </c>
      <c r="AP102" s="4">
        <f t="shared" si="63"/>
        <v>0.14810948789982092</v>
      </c>
      <c r="AR102" s="4">
        <f t="shared" si="64"/>
        <v>9.2741262737003132E-4</v>
      </c>
      <c r="AS102" s="4">
        <f t="shared" si="65"/>
        <v>4.4319034988336186E-4</v>
      </c>
      <c r="AT102" s="4">
        <f t="shared" si="66"/>
        <v>4.9420499262075391E-3</v>
      </c>
      <c r="AV102" s="5">
        <f t="shared" si="67"/>
        <v>6.312652903460933E-3</v>
      </c>
    </row>
    <row r="103" spans="1:48">
      <c r="A103" s="4">
        <v>10000</v>
      </c>
      <c r="B103" s="4">
        <v>7010</v>
      </c>
      <c r="C103" s="4">
        <v>0.495</v>
      </c>
      <c r="D103" s="4">
        <v>39.588571428571427</v>
      </c>
      <c r="E103" s="8">
        <v>1.6</v>
      </c>
      <c r="F103" s="4">
        <v>15.755999999999998</v>
      </c>
      <c r="G103" s="8">
        <v>1.6</v>
      </c>
      <c r="H103" s="4">
        <v>48.494264132884041</v>
      </c>
      <c r="I103" s="8">
        <v>1.6</v>
      </c>
      <c r="K103" s="4">
        <v>90.738824363000006</v>
      </c>
      <c r="L103" s="4">
        <v>15</v>
      </c>
      <c r="M103" s="5">
        <v>9.2611756369999938</v>
      </c>
      <c r="P103" s="7">
        <f t="shared" si="68"/>
        <v>7.3632640383219309E-4</v>
      </c>
      <c r="Q103" s="7">
        <f t="shared" si="69"/>
        <v>3.0534491683580876E-2</v>
      </c>
      <c r="R103" s="7">
        <f t="shared" si="70"/>
        <v>7.1494616515255715E-3</v>
      </c>
      <c r="S103" s="7">
        <f t="shared" si="71"/>
        <v>5.4511711082749878E-4</v>
      </c>
      <c r="T103" s="7">
        <f t="shared" si="72"/>
        <v>6.5020101864100258E-4</v>
      </c>
      <c r="V103" s="5">
        <f t="shared" si="47"/>
        <v>3.961559786840714E-2</v>
      </c>
      <c r="X103" s="4" t="e">
        <f t="shared" si="48"/>
        <v>#NUM!</v>
      </c>
      <c r="Y103" s="4" t="e">
        <f t="shared" si="49"/>
        <v>#NUM!</v>
      </c>
      <c r="Z103" s="4" t="e">
        <f t="shared" si="50"/>
        <v>#NUM!</v>
      </c>
      <c r="AA103" s="4" t="e">
        <f t="shared" si="51"/>
        <v>#NUM!</v>
      </c>
      <c r="AC103" s="4" t="e">
        <f t="shared" si="52"/>
        <v>#NUM!</v>
      </c>
      <c r="AD103" s="4" t="e">
        <f t="shared" si="53"/>
        <v>#NUM!</v>
      </c>
      <c r="AE103" s="4" t="e">
        <f t="shared" si="54"/>
        <v>#NUM!</v>
      </c>
      <c r="AF103" s="4" t="e">
        <f t="shared" si="55"/>
        <v>#NUM!</v>
      </c>
      <c r="AH103" s="4" t="e">
        <f t="shared" si="56"/>
        <v>#NUM!</v>
      </c>
      <c r="AI103" s="4" t="e">
        <f t="shared" si="57"/>
        <v>#NUM!</v>
      </c>
      <c r="AJ103" s="4" t="e">
        <f t="shared" si="58"/>
        <v>#NUM!</v>
      </c>
      <c r="AK103" s="4" t="e">
        <f t="shared" si="59"/>
        <v>#NUM!</v>
      </c>
      <c r="AM103" s="4" t="e">
        <f t="shared" si="60"/>
        <v>#NUM!</v>
      </c>
      <c r="AN103" s="4" t="e">
        <f t="shared" si="61"/>
        <v>#NUM!</v>
      </c>
      <c r="AO103" s="4" t="e">
        <f t="shared" si="62"/>
        <v>#NUM!</v>
      </c>
      <c r="AP103" s="4" t="e">
        <f t="shared" si="63"/>
        <v>#NUM!</v>
      </c>
      <c r="AR103" s="4" t="e">
        <f t="shared" si="64"/>
        <v>#NUM!</v>
      </c>
      <c r="AS103" s="4" t="e">
        <f t="shared" si="65"/>
        <v>#NUM!</v>
      </c>
      <c r="AT103" s="4" t="e">
        <f t="shared" si="66"/>
        <v>#NUM!</v>
      </c>
      <c r="AV103" s="5" t="e">
        <f t="shared" si="67"/>
        <v>#NUM!</v>
      </c>
    </row>
  </sheetData>
  <autoFilter ref="A2:D2" xr:uid="{00000000-0009-0000-0000-000007000000}">
    <sortState xmlns:xlrd2="http://schemas.microsoft.com/office/spreadsheetml/2017/richdata2" ref="A3:E703">
      <sortCondition ref="D2:D703"/>
    </sortState>
  </autoFilter>
  <pageMargins left="0.7" right="0.7" top="0.75" bottom="0.75" header="0.3" footer="0.3"/>
  <pageSetup orientation="portrait" horizontalDpi="4294967292" verticalDpi="4294967292"/>
  <legacy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191"/>
  <sheetViews>
    <sheetView zoomScale="120" zoomScaleNormal="120" workbookViewId="0">
      <selection activeCell="M17" sqref="M17"/>
    </sheetView>
  </sheetViews>
  <sheetFormatPr defaultColWidth="17.08984375" defaultRowHeight="18.5"/>
  <cols>
    <col min="1" max="2" width="17.08984375" style="46"/>
    <col min="3" max="8" width="17.08984375" style="47"/>
    <col min="9" max="16384" width="17.08984375" style="46"/>
  </cols>
  <sheetData>
    <row r="1" spans="1:19">
      <c r="A1" s="46" t="s">
        <v>334</v>
      </c>
      <c r="C1" s="47" t="s">
        <v>393</v>
      </c>
      <c r="D1" s="47" t="s">
        <v>394</v>
      </c>
      <c r="E1" s="47" t="s">
        <v>395</v>
      </c>
      <c r="F1" s="47" t="s">
        <v>396</v>
      </c>
      <c r="G1" s="47" t="s">
        <v>576</v>
      </c>
      <c r="H1" s="47" t="s">
        <v>577</v>
      </c>
      <c r="I1" s="46" t="s">
        <v>578</v>
      </c>
      <c r="J1" s="46" t="s">
        <v>579</v>
      </c>
      <c r="K1" s="46" t="s">
        <v>580</v>
      </c>
      <c r="L1" s="46" t="s">
        <v>581</v>
      </c>
      <c r="M1" s="46" t="s">
        <v>582</v>
      </c>
      <c r="N1" s="46" t="s">
        <v>583</v>
      </c>
      <c r="O1" s="46" t="s">
        <v>584</v>
      </c>
      <c r="P1" s="46" t="s">
        <v>585</v>
      </c>
      <c r="Q1" s="46" t="s">
        <v>586</v>
      </c>
      <c r="R1" s="46" t="s">
        <v>587</v>
      </c>
      <c r="S1" s="46" t="s">
        <v>285</v>
      </c>
    </row>
    <row r="2" spans="1:19">
      <c r="A2" s="46" t="s">
        <v>397</v>
      </c>
      <c r="C2" s="47">
        <v>14800.506822359701</v>
      </c>
      <c r="D2" s="47">
        <v>23693.589964233644</v>
      </c>
      <c r="E2" s="47">
        <v>207.20709551303648</v>
      </c>
      <c r="F2" s="47">
        <v>331.71025949927105</v>
      </c>
      <c r="H2" s="47">
        <v>715.1397925856412</v>
      </c>
      <c r="I2" s="47">
        <v>875.42352196879358</v>
      </c>
      <c r="J2" s="47">
        <v>945.81840311679957</v>
      </c>
      <c r="K2" s="47">
        <v>1011.8812915787744</v>
      </c>
      <c r="L2" s="47">
        <v>1019.4622787793289</v>
      </c>
      <c r="M2" s="47">
        <v>991.30432632012662</v>
      </c>
      <c r="N2" s="47">
        <v>964.22937203243202</v>
      </c>
      <c r="O2" s="47">
        <v>904.66447259950371</v>
      </c>
      <c r="P2" s="47">
        <v>867.84253476823892</v>
      </c>
      <c r="Q2" s="47">
        <v>735.71675784428908</v>
      </c>
      <c r="R2" s="47">
        <v>581.93101749018354</v>
      </c>
      <c r="S2" s="47">
        <v>873.25752562577782</v>
      </c>
    </row>
    <row r="3" spans="1:19">
      <c r="A3" s="46" t="s">
        <v>398</v>
      </c>
      <c r="C3" s="47">
        <v>89315.364921234941</v>
      </c>
      <c r="D3" s="47">
        <v>148326.28851594357</v>
      </c>
      <c r="E3" s="47">
        <v>1250.4151088972892</v>
      </c>
      <c r="F3" s="47">
        <v>2076.5680392232098</v>
      </c>
      <c r="H3" s="47">
        <v>2502.8635683337548</v>
      </c>
      <c r="I3" s="47">
        <v>4532.4894517334142</v>
      </c>
      <c r="J3" s="47">
        <v>5906.0746455493463</v>
      </c>
      <c r="K3" s="47">
        <v>6131.5886325937518</v>
      </c>
      <c r="L3" s="47">
        <v>6049.5835463957865</v>
      </c>
      <c r="M3" s="47">
        <v>6075.2101358326508</v>
      </c>
      <c r="N3" s="47">
        <v>6023.9569569589221</v>
      </c>
      <c r="O3" s="47">
        <v>5880.4480561124819</v>
      </c>
      <c r="P3" s="47">
        <v>5603.6808901943459</v>
      </c>
      <c r="Q3" s="47">
        <v>4394.1058687743471</v>
      </c>
      <c r="R3" s="47">
        <v>2507.9888862211278</v>
      </c>
      <c r="S3" s="47">
        <v>4799.0059818768032</v>
      </c>
    </row>
    <row r="4" spans="1:19">
      <c r="A4" s="46" t="s">
        <v>399</v>
      </c>
      <c r="C4" s="47">
        <v>64722.17130836445</v>
      </c>
      <c r="D4" s="47">
        <v>105186.34287173988</v>
      </c>
      <c r="E4" s="47">
        <v>906.11039831710229</v>
      </c>
      <c r="F4" s="47">
        <v>1472.6088002043584</v>
      </c>
      <c r="H4" s="47">
        <v>2218.8818241506983</v>
      </c>
      <c r="I4" s="47">
        <v>3564.734508762831</v>
      </c>
      <c r="J4" s="47">
        <v>4581.3858172827877</v>
      </c>
      <c r="K4" s="47">
        <v>4586.2270139900256</v>
      </c>
      <c r="L4" s="47">
        <v>4363.5319654570822</v>
      </c>
      <c r="M4" s="47">
        <v>4198.9312774109949</v>
      </c>
      <c r="N4" s="47">
        <v>4150.5193103386155</v>
      </c>
      <c r="O4" s="47">
        <v>3743.858786930633</v>
      </c>
      <c r="P4" s="47">
        <v>3221.0095425489412</v>
      </c>
      <c r="Q4" s="47">
        <v>2441.5768726836413</v>
      </c>
      <c r="R4" s="47">
        <v>1879.9980546440461</v>
      </c>
      <c r="S4" s="47">
        <v>3637.3524593713992</v>
      </c>
    </row>
    <row r="5" spans="1:19">
      <c r="A5" s="46" t="s">
        <v>400</v>
      </c>
      <c r="C5" s="47">
        <v>62236.567888096128</v>
      </c>
      <c r="D5" s="47">
        <v>101563.20187677302</v>
      </c>
      <c r="E5" s="47">
        <v>871.31195043334583</v>
      </c>
      <c r="F5" s="47">
        <v>1421.8848262748222</v>
      </c>
      <c r="H5" s="47">
        <v>2465.8599773300466</v>
      </c>
      <c r="I5" s="47">
        <v>3490.1402756056041</v>
      </c>
      <c r="J5" s="47">
        <v>4133.40809577866</v>
      </c>
      <c r="K5" s="47">
        <v>4316.492013827914</v>
      </c>
      <c r="L5" s="47">
        <v>4390.715223847883</v>
      </c>
      <c r="M5" s="47">
        <v>4450.0937918638574</v>
      </c>
      <c r="N5" s="47">
        <v>4450.0937918638574</v>
      </c>
      <c r="O5" s="47">
        <v>4375.8705818438884</v>
      </c>
      <c r="P5" s="47">
        <v>4202.6830917972966</v>
      </c>
      <c r="Q5" s="47">
        <v>3950.3241777294056</v>
      </c>
      <c r="R5" s="47">
        <v>3638.5866956455407</v>
      </c>
      <c r="S5" s="47">
        <v>3806.825971690801</v>
      </c>
    </row>
    <row r="6" spans="1:19">
      <c r="A6" s="46" t="s">
        <v>401</v>
      </c>
      <c r="C6" s="47">
        <v>213564.50061949031</v>
      </c>
      <c r="D6" s="47">
        <v>353142.88492846233</v>
      </c>
      <c r="E6" s="47">
        <v>2989.9030086728644</v>
      </c>
      <c r="F6" s="47">
        <v>4944.0003889984728</v>
      </c>
      <c r="H6" s="47">
        <v>6258.8767250375586</v>
      </c>
      <c r="I6" s="47">
        <v>11653.887253122357</v>
      </c>
      <c r="J6" s="47">
        <v>13809.399542634297</v>
      </c>
      <c r="K6" s="47">
        <v>14544.516450618139</v>
      </c>
      <c r="L6" s="47">
        <v>14556.976059228033</v>
      </c>
      <c r="M6" s="47">
        <v>14831.087448645736</v>
      </c>
      <c r="N6" s="47">
        <v>14656.652928107196</v>
      </c>
      <c r="O6" s="47">
        <v>14208.107018150955</v>
      </c>
      <c r="P6" s="47">
        <v>13173.959503529621</v>
      </c>
      <c r="Q6" s="47">
        <v>11055.826039847369</v>
      </c>
      <c r="R6" s="47">
        <v>6321.1747680870376</v>
      </c>
      <c r="S6" s="47">
        <v>11666.346861732252</v>
      </c>
    </row>
    <row r="7" spans="1:19">
      <c r="A7" s="46" t="s">
        <v>402</v>
      </c>
      <c r="C7" s="47">
        <v>51874.07743769799</v>
      </c>
      <c r="D7" s="47">
        <v>85839.963814061368</v>
      </c>
      <c r="E7" s="47">
        <v>726.23708412777182</v>
      </c>
      <c r="F7" s="47">
        <v>1201.7594933968592</v>
      </c>
      <c r="H7" s="47">
        <v>1561.8171392465104</v>
      </c>
      <c r="I7" s="47">
        <v>2909.8082095867157</v>
      </c>
      <c r="J7" s="47">
        <v>3267.4988225497973</v>
      </c>
      <c r="K7" s="47">
        <v>3403.4803778911337</v>
      </c>
      <c r="L7" s="47">
        <v>3430.085464805743</v>
      </c>
      <c r="M7" s="47">
        <v>3521.7252086227304</v>
      </c>
      <c r="N7" s="47">
        <v>3512.8568463178608</v>
      </c>
      <c r="O7" s="47">
        <v>3400.5242571228441</v>
      </c>
      <c r="P7" s="47">
        <v>3223.1570110254484</v>
      </c>
      <c r="Q7" s="47">
        <v>2971.8867457208048</v>
      </c>
      <c r="R7" s="47">
        <v>2463.4339735749377</v>
      </c>
      <c r="S7" s="47">
        <v>3081.2632141475324</v>
      </c>
    </row>
    <row r="8" spans="1:19">
      <c r="A8" s="46" t="s">
        <v>403</v>
      </c>
      <c r="C8" s="47">
        <v>591299.34478958067</v>
      </c>
      <c r="D8" s="47">
        <v>963805.03258490458</v>
      </c>
      <c r="E8" s="47">
        <v>8278.1908270541298</v>
      </c>
      <c r="F8" s="47">
        <v>13493.270456188664</v>
      </c>
      <c r="H8" s="47">
        <v>22569.499003861034</v>
      </c>
      <c r="I8" s="47">
        <v>30626.159104998926</v>
      </c>
      <c r="J8" s="47">
        <v>38682.819206136825</v>
      </c>
      <c r="K8" s="47">
        <v>39301.310284608007</v>
      </c>
      <c r="L8" s="47">
        <v>39919.801363079205</v>
      </c>
      <c r="M8" s="47">
        <v>39171.101636508814</v>
      </c>
      <c r="N8" s="47">
        <v>38422.401909938424</v>
      </c>
      <c r="O8" s="47">
        <v>34402.209899875677</v>
      </c>
      <c r="P8" s="47">
        <v>30382.017889812931</v>
      </c>
      <c r="Q8" s="47">
        <v>21820.799277290644</v>
      </c>
      <c r="R8" s="47">
        <v>13259.580664768357</v>
      </c>
      <c r="S8" s="47">
        <v>31619.000046755311</v>
      </c>
    </row>
    <row r="9" spans="1:19">
      <c r="A9" s="46" t="s">
        <v>404</v>
      </c>
      <c r="C9" s="47">
        <v>770023.205461976</v>
      </c>
      <c r="D9" s="47">
        <v>1251370.2372095375</v>
      </c>
      <c r="E9" s="47">
        <v>10780.324876467665</v>
      </c>
      <c r="F9" s="47">
        <v>17519.183320933527</v>
      </c>
      <c r="H9" s="47">
        <v>34734.326741709963</v>
      </c>
      <c r="I9" s="47">
        <v>44508.282526820483</v>
      </c>
      <c r="J9" s="47">
        <v>46636.482576804228</v>
      </c>
      <c r="K9" s="47">
        <v>46518.249240694022</v>
      </c>
      <c r="L9" s="47">
        <v>46636.482576804228</v>
      </c>
      <c r="M9" s="47">
        <v>47030.593697171593</v>
      </c>
      <c r="N9" s="47">
        <v>46912.360361061379</v>
      </c>
      <c r="O9" s="47">
        <v>45887.671448106244</v>
      </c>
      <c r="P9" s="47">
        <v>42655.960261093904</v>
      </c>
      <c r="Q9" s="47">
        <v>36192.537887069193</v>
      </c>
      <c r="R9" s="47">
        <v>18930.470814978842</v>
      </c>
      <c r="S9" s="47">
        <v>39148.371289824398</v>
      </c>
    </row>
    <row r="10" spans="1:19">
      <c r="A10" s="46" t="s">
        <v>405</v>
      </c>
      <c r="C10" s="47">
        <v>726757.67387432721</v>
      </c>
      <c r="D10" s="47">
        <v>1187712.6565936806</v>
      </c>
      <c r="E10" s="47">
        <v>10174.607434240581</v>
      </c>
      <c r="F10" s="47">
        <v>16627.97719231153</v>
      </c>
      <c r="H10" s="47">
        <v>26362.70134093293</v>
      </c>
      <c r="I10" s="47">
        <v>41069.641750015129</v>
      </c>
      <c r="J10" s="47">
        <v>45742.159275817277</v>
      </c>
      <c r="K10" s="47">
        <v>46814.540347312868</v>
      </c>
      <c r="L10" s="47">
        <v>47427.329531024618</v>
      </c>
      <c r="M10" s="47">
        <v>47427.329531024618</v>
      </c>
      <c r="N10" s="47">
        <v>47389.030207042633</v>
      </c>
      <c r="O10" s="47">
        <v>46431.54710749301</v>
      </c>
      <c r="P10" s="47">
        <v>42065.424173546737</v>
      </c>
      <c r="Q10" s="47">
        <v>24945.626353599488</v>
      </c>
      <c r="R10" s="47">
        <v>14566.509554481585</v>
      </c>
      <c r="S10" s="47">
        <v>36282.226252267013</v>
      </c>
    </row>
    <row r="11" spans="1:19">
      <c r="A11" s="46" t="s">
        <v>406</v>
      </c>
      <c r="C11" s="47">
        <v>56458.800163055203</v>
      </c>
      <c r="D11" s="47">
        <v>92610.653297623867</v>
      </c>
      <c r="E11" s="47">
        <v>790.42320228277288</v>
      </c>
      <c r="F11" s="47">
        <v>1296.5491461667341</v>
      </c>
      <c r="H11" s="47">
        <v>1626.2646465275654</v>
      </c>
      <c r="I11" s="47">
        <v>3335.45802006349</v>
      </c>
      <c r="J11" s="47">
        <v>3797.4894991100632</v>
      </c>
      <c r="K11" s="47">
        <v>3694.097839463278</v>
      </c>
      <c r="L11" s="47">
        <v>3623.0160734561123</v>
      </c>
      <c r="M11" s="47">
        <v>4001.0418290396728</v>
      </c>
      <c r="N11" s="47">
        <v>4253.0589994287129</v>
      </c>
      <c r="O11" s="47">
        <v>4214.2871270611677</v>
      </c>
      <c r="P11" s="47">
        <v>3002.6661155753986</v>
      </c>
      <c r="Q11" s="47">
        <v>2046.2932638426319</v>
      </c>
      <c r="R11" s="47">
        <v>1280.548784583626</v>
      </c>
      <c r="S11" s="47">
        <v>3225.6043816887804</v>
      </c>
    </row>
    <row r="12" spans="1:19" ht="15.5" customHeight="1">
      <c r="A12" s="46" t="s">
        <v>407</v>
      </c>
      <c r="C12" s="47">
        <v>563747.81920166197</v>
      </c>
      <c r="D12" s="47">
        <v>914846.42213443329</v>
      </c>
      <c r="E12" s="47">
        <v>7892.4694688232676</v>
      </c>
      <c r="F12" s="47">
        <v>12807.849909882067</v>
      </c>
      <c r="H12" s="47">
        <v>21124.810439905625</v>
      </c>
      <c r="I12" s="47">
        <v>37071.453238213573</v>
      </c>
      <c r="J12" s="47">
        <v>38593.200463499423</v>
      </c>
      <c r="K12" s="47">
        <v>35565.557546524455</v>
      </c>
      <c r="L12" s="47">
        <v>35565.557546524455</v>
      </c>
      <c r="M12" s="47">
        <v>35565.557546524455</v>
      </c>
      <c r="N12" s="47">
        <v>35565.557546524455</v>
      </c>
      <c r="O12" s="47">
        <v>35565.557546524455</v>
      </c>
      <c r="P12" s="47">
        <v>35565.557546524455</v>
      </c>
      <c r="Q12" s="47">
        <v>32537.914629549487</v>
      </c>
      <c r="R12" s="47">
        <v>16844.896368789181</v>
      </c>
      <c r="S12" s="47">
        <v>34249.880257996068</v>
      </c>
    </row>
    <row r="13" spans="1:19">
      <c r="A13" s="46" t="s">
        <v>408</v>
      </c>
      <c r="C13" s="47">
        <v>268902.08876935899</v>
      </c>
      <c r="D13" s="47">
        <v>442351.48258531059</v>
      </c>
      <c r="E13" s="47">
        <v>3764.6292427710259</v>
      </c>
      <c r="F13" s="47">
        <v>6192.9207561943485</v>
      </c>
      <c r="H13" s="47">
        <v>6159.9620365258106</v>
      </c>
      <c r="I13" s="47">
        <v>16486.49066943131</v>
      </c>
      <c r="J13" s="47">
        <v>19087.95103163792</v>
      </c>
      <c r="K13" s="47">
        <v>17818.945976902989</v>
      </c>
      <c r="L13" s="47">
        <v>18612.074136112322</v>
      </c>
      <c r="M13" s="47">
        <v>18564.486446559764</v>
      </c>
      <c r="N13" s="47">
        <v>17676.182908245308</v>
      </c>
      <c r="O13" s="47">
        <v>17057.542944062032</v>
      </c>
      <c r="P13" s="47">
        <v>14535.395397776356</v>
      </c>
      <c r="Q13" s="47">
        <v>11584.958645517641</v>
      </c>
      <c r="R13" s="47">
        <v>9031.0859728635933</v>
      </c>
      <c r="S13" s="47">
        <v>16645.116301273178</v>
      </c>
    </row>
    <row r="14" spans="1:19">
      <c r="A14" s="46" t="s">
        <v>409</v>
      </c>
      <c r="C14" s="47">
        <v>25156.050111693723</v>
      </c>
      <c r="D14" s="47">
        <v>41199.066419751929</v>
      </c>
      <c r="E14" s="47">
        <v>352.18470156371211</v>
      </c>
      <c r="F14" s="47">
        <v>576.78692987652698</v>
      </c>
      <c r="H14" s="47">
        <v>1011.2849878083258</v>
      </c>
      <c r="I14" s="47">
        <v>1348.2042303576065</v>
      </c>
      <c r="J14" s="47">
        <v>1563.3263758350815</v>
      </c>
      <c r="K14" s="47">
        <v>1647.1607413520383</v>
      </c>
      <c r="L14" s="47">
        <v>1677.2145704996269</v>
      </c>
      <c r="M14" s="47">
        <v>1664.5603266480109</v>
      </c>
      <c r="N14" s="47">
        <v>1637.6700584633265</v>
      </c>
      <c r="O14" s="47">
        <v>1575.9806196866975</v>
      </c>
      <c r="P14" s="47">
        <v>1515.8729613915209</v>
      </c>
      <c r="Q14" s="47">
        <v>1349.7860108390585</v>
      </c>
      <c r="R14" s="47">
        <v>1017.6121097341338</v>
      </c>
      <c r="S14" s="47">
        <v>1449.4381811705357</v>
      </c>
    </row>
    <row r="15" spans="1:19">
      <c r="A15" s="46" t="s">
        <v>410</v>
      </c>
      <c r="C15" s="47">
        <v>274599.20191217429</v>
      </c>
      <c r="D15" s="47">
        <v>452447.56312133081</v>
      </c>
      <c r="E15" s="47">
        <v>3844.3888267704401</v>
      </c>
      <c r="F15" s="47">
        <v>6334.2658836986311</v>
      </c>
      <c r="H15" s="47">
        <v>8063.2015548427662</v>
      </c>
      <c r="I15" s="47">
        <v>15700.441560797008</v>
      </c>
      <c r="J15" s="47">
        <v>18301.312665186939</v>
      </c>
      <c r="K15" s="47">
        <v>18316.346602206537</v>
      </c>
      <c r="L15" s="47">
        <v>18737.296838755192</v>
      </c>
      <c r="M15" s="47">
        <v>18526.821720480861</v>
      </c>
      <c r="N15" s="47">
        <v>18376.482350284918</v>
      </c>
      <c r="O15" s="47">
        <v>17865.328491618682</v>
      </c>
      <c r="P15" s="47">
        <v>16572.409907933517</v>
      </c>
      <c r="Q15" s="47">
        <v>14257.183606915893</v>
      </c>
      <c r="R15" s="47">
        <v>6815.3847822163843</v>
      </c>
      <c r="S15" s="47">
        <v>14377.455103072652</v>
      </c>
    </row>
    <row r="16" spans="1:19">
      <c r="A16" s="46" t="s">
        <v>411</v>
      </c>
      <c r="C16" s="47">
        <v>80221.75878906931</v>
      </c>
      <c r="D16" s="47">
        <v>131463.65577305836</v>
      </c>
      <c r="E16" s="47">
        <v>1123.1046230469703</v>
      </c>
      <c r="F16" s="47">
        <v>1840.4911808228171</v>
      </c>
      <c r="H16" s="47">
        <v>1909.7891013855183</v>
      </c>
      <c r="I16" s="47">
        <v>4791.9403367081759</v>
      </c>
      <c r="J16" s="47">
        <v>5630.3843324384025</v>
      </c>
      <c r="K16" s="47">
        <v>5621.6505408162138</v>
      </c>
      <c r="L16" s="47">
        <v>5604.1829575718339</v>
      </c>
      <c r="M16" s="47">
        <v>5626.0174366273086</v>
      </c>
      <c r="N16" s="47">
        <v>5586.715374327453</v>
      </c>
      <c r="O16" s="47">
        <v>5455.7084999946046</v>
      </c>
      <c r="P16" s="47">
        <v>4508.0921089870053</v>
      </c>
      <c r="Q16" s="47">
        <v>2892.3406588818789</v>
      </c>
      <c r="R16" s="47">
        <v>1909.7891013855183</v>
      </c>
      <c r="S16" s="47">
        <v>4543.0272754757643</v>
      </c>
    </row>
    <row r="17" spans="1:19">
      <c r="A17" s="46" t="s">
        <v>412</v>
      </c>
      <c r="C17" s="47">
        <v>827603.26464640943</v>
      </c>
      <c r="D17" s="47">
        <v>1373157.2221413879</v>
      </c>
      <c r="E17" s="47">
        <v>11586.445705049733</v>
      </c>
      <c r="F17" s="47">
        <v>19224.201109979429</v>
      </c>
      <c r="H17" s="47">
        <v>21883.108652285151</v>
      </c>
      <c r="I17" s="47">
        <v>39831.450531425442</v>
      </c>
      <c r="J17" s="47">
        <v>56473.578850628299</v>
      </c>
      <c r="K17" s="47">
        <v>58118.440370549513</v>
      </c>
      <c r="L17" s="47">
        <v>57489.522730579629</v>
      </c>
      <c r="M17" s="47">
        <v>57973.305530556463</v>
      </c>
      <c r="N17" s="47">
        <v>57489.522730579629</v>
      </c>
      <c r="O17" s="47">
        <v>55506.013250674645</v>
      </c>
      <c r="P17" s="47">
        <v>51103.589770885512</v>
      </c>
      <c r="Q17" s="47">
        <v>32768.221651763757</v>
      </c>
      <c r="R17" s="47">
        <v>17577.441732491388</v>
      </c>
      <c r="S17" s="47">
        <v>42443.87765130031</v>
      </c>
    </row>
    <row r="18" spans="1:19">
      <c r="A18" s="46" t="s">
        <v>413</v>
      </c>
      <c r="C18" s="47">
        <v>75436.279982080116</v>
      </c>
      <c r="D18" s="47">
        <v>122685.92061726899</v>
      </c>
      <c r="E18" s="47">
        <v>1056.1079197491217</v>
      </c>
      <c r="F18" s="47">
        <v>1717.602888641766</v>
      </c>
      <c r="H18" s="47">
        <v>3070.9659379447521</v>
      </c>
      <c r="I18" s="47">
        <v>4474.3111640741299</v>
      </c>
      <c r="J18" s="47">
        <v>4766.8514075875046</v>
      </c>
      <c r="K18" s="47">
        <v>4961.8782365964225</v>
      </c>
      <c r="L18" s="47">
        <v>4953.3988092482068</v>
      </c>
      <c r="M18" s="47">
        <v>5089.0696468196275</v>
      </c>
      <c r="N18" s="47">
        <v>4927.9605272035669</v>
      </c>
      <c r="O18" s="47">
        <v>4788.0499759580389</v>
      </c>
      <c r="P18" s="47">
        <v>4487.0303050964503</v>
      </c>
      <c r="Q18" s="47">
        <v>3999.4632325741591</v>
      </c>
      <c r="R18" s="47">
        <v>2981.9319507885075</v>
      </c>
      <c r="S18" s="47">
        <v>4368.3183222214584</v>
      </c>
    </row>
    <row r="19" spans="1:19">
      <c r="A19" s="46" t="s">
        <v>414</v>
      </c>
      <c r="C19" s="47">
        <v>22764.216993230952</v>
      </c>
      <c r="D19" s="47">
        <v>37679.975704306409</v>
      </c>
      <c r="E19" s="47">
        <v>318.69903790523335</v>
      </c>
      <c r="F19" s="47">
        <v>527.51965986028972</v>
      </c>
      <c r="H19" s="47">
        <v>772.47740834138108</v>
      </c>
      <c r="I19" s="47">
        <v>1156.3377953681634</v>
      </c>
      <c r="J19" s="47">
        <v>1453.1517749279058</v>
      </c>
      <c r="K19" s="47">
        <v>1610.1207064258463</v>
      </c>
      <c r="L19" s="47">
        <v>1668.6273081659879</v>
      </c>
      <c r="M19" s="47">
        <v>1715.7179876153702</v>
      </c>
      <c r="N19" s="47">
        <v>1728.5609001924745</v>
      </c>
      <c r="O19" s="47">
        <v>1668.6273081659879</v>
      </c>
      <c r="P19" s="47">
        <v>1588.7158521306726</v>
      </c>
      <c r="Q19" s="47">
        <v>1473.1296389367346</v>
      </c>
      <c r="R19" s="47">
        <v>1217.6983776809946</v>
      </c>
      <c r="S19" s="47">
        <v>1370.3863383199005</v>
      </c>
    </row>
    <row r="20" spans="1:19">
      <c r="A20" s="46" t="s">
        <v>415</v>
      </c>
      <c r="C20" s="47">
        <v>1696923.4886889649</v>
      </c>
      <c r="D20" s="47">
        <v>2805705.1552477251</v>
      </c>
      <c r="E20" s="47">
        <v>23756.928841645509</v>
      </c>
      <c r="F20" s="47">
        <v>39279.872173468153</v>
      </c>
      <c r="H20" s="47">
        <v>56482.550479842277</v>
      </c>
      <c r="I20" s="47">
        <v>90967.248138506315</v>
      </c>
      <c r="J20" s="47">
        <v>108209.59696783833</v>
      </c>
      <c r="K20" s="47">
        <v>110047.61384812246</v>
      </c>
      <c r="L20" s="47">
        <v>109434.94155469441</v>
      </c>
      <c r="M20" s="47">
        <v>108997.3184879601</v>
      </c>
      <c r="N20" s="47">
        <v>110047.61384812246</v>
      </c>
      <c r="O20" s="47">
        <v>108122.07235449147</v>
      </c>
      <c r="P20" s="47">
        <v>103308.218620414</v>
      </c>
      <c r="Q20" s="47">
        <v>95868.626485930639</v>
      </c>
      <c r="R20" s="47" t="e">
        <v>#VALUE!</v>
      </c>
      <c r="S20" s="47">
        <v>102695.54632698596</v>
      </c>
    </row>
    <row r="21" spans="1:19">
      <c r="A21" s="46" t="s">
        <v>416</v>
      </c>
      <c r="C21" s="47">
        <v>47763.123950920402</v>
      </c>
      <c r="D21" s="47">
        <v>79237.430670357411</v>
      </c>
      <c r="E21" s="47">
        <v>668.68373531288569</v>
      </c>
      <c r="F21" s="47">
        <v>1109.3240293850038</v>
      </c>
      <c r="H21" s="47">
        <v>1227.0080906656397</v>
      </c>
      <c r="I21" s="47">
        <v>2541.0514506768759</v>
      </c>
      <c r="J21" s="47">
        <v>3182.4635443324682</v>
      </c>
      <c r="K21" s="47">
        <v>3349.9118342691058</v>
      </c>
      <c r="L21" s="47">
        <v>3375.4547937509656</v>
      </c>
      <c r="M21" s="47">
        <v>3352.749940878201</v>
      </c>
      <c r="N21" s="47">
        <v>3474.7885250693093</v>
      </c>
      <c r="O21" s="47">
        <v>3477.6266316784049</v>
      </c>
      <c r="P21" s="47">
        <v>2753.9094463590413</v>
      </c>
      <c r="Q21" s="47">
        <v>2447.3939325767228</v>
      </c>
      <c r="R21" s="47">
        <v>1916.6679966758563</v>
      </c>
      <c r="S21" s="47">
        <v>2736.8808067044683</v>
      </c>
    </row>
    <row r="22" spans="1:19">
      <c r="A22" s="46" t="s">
        <v>417</v>
      </c>
      <c r="C22" s="47">
        <v>54763.83556835432</v>
      </c>
      <c r="D22" s="47">
        <v>90029.702919537376</v>
      </c>
      <c r="E22" s="47">
        <v>766.69369795696048</v>
      </c>
      <c r="F22" s="47">
        <v>1260.4158408735234</v>
      </c>
      <c r="H22" s="47">
        <v>2264.2032688125091</v>
      </c>
      <c r="I22" s="47">
        <v>2774.5603562371525</v>
      </c>
      <c r="J22" s="47">
        <v>3321.371521334986</v>
      </c>
      <c r="K22" s="47">
        <v>3546.1716669863176</v>
      </c>
      <c r="L22" s="47">
        <v>3646.4203805875864</v>
      </c>
      <c r="M22" s="47">
        <v>3655.5339000058839</v>
      </c>
      <c r="N22" s="47">
        <v>3661.6095796180821</v>
      </c>
      <c r="O22" s="47">
        <v>3682.8744582607756</v>
      </c>
      <c r="P22" s="47">
        <v>3552.2473465985154</v>
      </c>
      <c r="Q22" s="47">
        <v>3120.8740941324477</v>
      </c>
      <c r="R22" s="47">
        <v>2519.3818125248308</v>
      </c>
      <c r="S22" s="47">
        <v>3160.3660116117353</v>
      </c>
    </row>
    <row r="23" spans="1:19">
      <c r="A23" s="46" t="s">
        <v>418</v>
      </c>
      <c r="C23" s="47">
        <v>163079.49516571077</v>
      </c>
      <c r="D23" s="47">
        <v>266814.03797112743</v>
      </c>
      <c r="E23" s="47">
        <v>2283.1129323199507</v>
      </c>
      <c r="F23" s="47">
        <v>3735.3965315957839</v>
      </c>
      <c r="H23" s="47">
        <v>5033.2842462431454</v>
      </c>
      <c r="I23" s="47">
        <v>8894.3385056280058</v>
      </c>
      <c r="J23" s="47">
        <v>11054.441834527101</v>
      </c>
      <c r="K23" s="47">
        <v>11367.500287990741</v>
      </c>
      <c r="L23" s="47">
        <v>11419.676696901346</v>
      </c>
      <c r="M23" s="47">
        <v>11054.441834527101</v>
      </c>
      <c r="N23" s="47">
        <v>10532.677745421041</v>
      </c>
      <c r="O23" s="47">
        <v>9937.8666838401296</v>
      </c>
      <c r="P23" s="47">
        <v>8769.1151242425512</v>
      </c>
      <c r="Q23" s="47">
        <v>6431.6120050473928</v>
      </c>
      <c r="R23" s="47">
        <v>4188.0264218913253</v>
      </c>
      <c r="S23" s="47">
        <v>7840.3750456337593</v>
      </c>
    </row>
    <row r="24" spans="1:19">
      <c r="A24" s="46" t="s">
        <v>419</v>
      </c>
      <c r="C24" s="47">
        <v>98424.189712468418</v>
      </c>
      <c r="D24" s="47">
        <v>159744.34080434596</v>
      </c>
      <c r="E24" s="47">
        <v>1377.9386559745578</v>
      </c>
      <c r="F24" s="47">
        <v>2236.4207712608436</v>
      </c>
      <c r="H24" s="47">
        <v>3073.053760233317</v>
      </c>
      <c r="I24" s="47">
        <v>5939.2468579110255</v>
      </c>
      <c r="J24" s="47">
        <v>7078.0467940419012</v>
      </c>
      <c r="K24" s="47">
        <v>7410.7299214509221</v>
      </c>
      <c r="L24" s="47">
        <v>7660.2422670076867</v>
      </c>
      <c r="M24" s="47">
        <v>7557.8782278049102</v>
      </c>
      <c r="N24" s="47">
        <v>7314.763634698319</v>
      </c>
      <c r="O24" s="47">
        <v>7026.8647744405134</v>
      </c>
      <c r="P24" s="47">
        <v>6713.3749043820135</v>
      </c>
      <c r="Q24" s="47">
        <v>5728.121027055302</v>
      </c>
      <c r="R24" s="47">
        <v>4026.3188753091626</v>
      </c>
      <c r="S24" s="47">
        <v>6220.7479657186577</v>
      </c>
    </row>
    <row r="25" spans="1:19">
      <c r="A25" s="46" t="s">
        <v>420</v>
      </c>
      <c r="C25" s="47">
        <v>126395.652782989</v>
      </c>
      <c r="D25" s="47">
        <v>204335.65877858884</v>
      </c>
      <c r="E25" s="47">
        <v>1769.539138961846</v>
      </c>
      <c r="F25" s="47">
        <v>2860.699222900244</v>
      </c>
      <c r="H25" s="47">
        <v>5117.3101448739599</v>
      </c>
      <c r="I25" s="47">
        <v>7750.0944764189262</v>
      </c>
      <c r="J25" s="47">
        <v>8223.5652281409093</v>
      </c>
      <c r="K25" s="47">
        <v>8359.8674142426917</v>
      </c>
      <c r="L25" s="47">
        <v>8345.519815705662</v>
      </c>
      <c r="M25" s="47">
        <v>8237.9128266779389</v>
      </c>
      <c r="N25" s="47">
        <v>8008.3512500854631</v>
      </c>
      <c r="O25" s="47">
        <v>7534.8804983634791</v>
      </c>
      <c r="P25" s="47">
        <v>6659.676987604661</v>
      </c>
      <c r="Q25" s="47">
        <v>5411.4359148830699</v>
      </c>
      <c r="R25" s="47">
        <v>3510.3791087266227</v>
      </c>
      <c r="S25" s="47">
        <v>7004.0193524933775</v>
      </c>
    </row>
    <row r="26" spans="1:19">
      <c r="A26" s="46" t="s">
        <v>421</v>
      </c>
      <c r="C26" s="47">
        <v>954341.53255264368</v>
      </c>
      <c r="D26" s="47">
        <v>1554816.7839831398</v>
      </c>
      <c r="E26" s="47">
        <v>13360.781455737011</v>
      </c>
      <c r="F26" s="47">
        <v>21767.434975763957</v>
      </c>
      <c r="H26" s="47">
        <v>34650.676137087794</v>
      </c>
      <c r="I26" s="47">
        <v>58919.249877713562</v>
      </c>
      <c r="J26" s="47">
        <v>60687.809907394789</v>
      </c>
      <c r="K26" s="47">
        <v>59705.27655757188</v>
      </c>
      <c r="L26" s="47">
        <v>60393.049902447914</v>
      </c>
      <c r="M26" s="47">
        <v>60294.79656746563</v>
      </c>
      <c r="N26" s="47">
        <v>60835.189909868226</v>
      </c>
      <c r="O26" s="47">
        <v>55431.256485842248</v>
      </c>
      <c r="P26" s="47">
        <v>49339.549716940222</v>
      </c>
      <c r="Q26" s="47">
        <v>44770.769640263716</v>
      </c>
      <c r="R26" s="47">
        <v>29050.236043097237</v>
      </c>
      <c r="S26" s="47">
        <v>54055.709796090174</v>
      </c>
    </row>
    <row r="27" spans="1:19">
      <c r="A27" s="46" t="s">
        <v>422</v>
      </c>
      <c r="C27" s="47">
        <v>369424.03871261084</v>
      </c>
      <c r="D27" s="47">
        <v>603030.98616364307</v>
      </c>
      <c r="E27" s="47">
        <v>5171.9365419765518</v>
      </c>
      <c r="F27" s="47">
        <v>8442.4338062910028</v>
      </c>
      <c r="H27" s="47">
        <v>10822.958451432718</v>
      </c>
      <c r="I27" s="47">
        <v>20485.277926840481</v>
      </c>
      <c r="J27" s="47">
        <v>26121.630954161676</v>
      </c>
      <c r="K27" s="47">
        <v>26295.726800565422</v>
      </c>
      <c r="L27" s="47">
        <v>26099.868973361208</v>
      </c>
      <c r="M27" s="47">
        <v>24902.960029335471</v>
      </c>
      <c r="N27" s="47">
        <v>25316.437664544366</v>
      </c>
      <c r="O27" s="47">
        <v>23379.621373302718</v>
      </c>
      <c r="P27" s="47">
        <v>19527.750771619892</v>
      </c>
      <c r="Q27" s="47">
        <v>12912.108608277642</v>
      </c>
      <c r="R27" s="47">
        <v>9865.4312962121294</v>
      </c>
      <c r="S27" s="47">
        <v>21268.709235657327</v>
      </c>
    </row>
    <row r="28" spans="1:19">
      <c r="A28" s="46" t="s">
        <v>423</v>
      </c>
      <c r="C28" s="47">
        <v>162001.53616478341</v>
      </c>
      <c r="D28" s="47">
        <v>270992.05580916285</v>
      </c>
      <c r="E28" s="47">
        <v>2268.0215063069677</v>
      </c>
      <c r="F28" s="47">
        <v>3793.8887813282799</v>
      </c>
      <c r="H28" s="47">
        <v>3835.7322890152736</v>
      </c>
      <c r="I28" s="47">
        <v>7404.2342911152946</v>
      </c>
      <c r="J28" s="47">
        <v>10835.8622438197</v>
      </c>
      <c r="K28" s="47">
        <v>11500.67905516984</v>
      </c>
      <c r="L28" s="47">
        <v>11754.873718333129</v>
      </c>
      <c r="M28" s="47">
        <v>11979.738228054499</v>
      </c>
      <c r="N28" s="47">
        <v>12048.175252752308</v>
      </c>
      <c r="O28" s="47">
        <v>11569.116079867646</v>
      </c>
      <c r="P28" s="47">
        <v>11080.280189169016</v>
      </c>
      <c r="Q28" s="47">
        <v>8538.3335575361234</v>
      </c>
      <c r="R28" s="47">
        <v>3913.9460315270553</v>
      </c>
      <c r="S28" s="47">
        <v>8792.5282206994125</v>
      </c>
    </row>
    <row r="29" spans="1:19">
      <c r="A29" s="46" t="s">
        <v>424</v>
      </c>
      <c r="C29" s="47">
        <v>17806.206621139088</v>
      </c>
      <c r="D29" s="47">
        <v>29025.575502989857</v>
      </c>
      <c r="E29" s="47">
        <v>249.28689269594724</v>
      </c>
      <c r="F29" s="47">
        <v>406.35805704185799</v>
      </c>
      <c r="H29" s="47">
        <v>686.23774222039174</v>
      </c>
      <c r="I29" s="47">
        <v>965.22224489877544</v>
      </c>
      <c r="J29" s="47">
        <v>1183.737200198593</v>
      </c>
      <c r="K29" s="47">
        <v>1301.9276791657901</v>
      </c>
      <c r="L29" s="47">
        <v>1300.5533712708227</v>
      </c>
      <c r="M29" s="47">
        <v>1290.9332160060508</v>
      </c>
      <c r="N29" s="47">
        <v>1288.1846002161158</v>
      </c>
      <c r="O29" s="47">
        <v>1152.1281186143428</v>
      </c>
      <c r="P29" s="47">
        <v>1121.8933449250599</v>
      </c>
      <c r="Q29" s="47">
        <v>994.08271069309103</v>
      </c>
      <c r="R29" s="47">
        <v>746.70728959895769</v>
      </c>
      <c r="S29" s="47">
        <v>1075.1668764961678</v>
      </c>
    </row>
    <row r="30" spans="1:19">
      <c r="A30" s="46" t="s">
        <v>425</v>
      </c>
      <c r="C30" s="47">
        <v>5015.1773391658735</v>
      </c>
      <c r="D30" s="47">
        <v>8192.7201337639817</v>
      </c>
      <c r="E30" s="47">
        <v>70.21248274832223</v>
      </c>
      <c r="F30" s="47">
        <v>114.69808187269575</v>
      </c>
      <c r="H30" s="47">
        <v>190.81495857129889</v>
      </c>
      <c r="I30" s="47">
        <v>287.52815607275005</v>
      </c>
      <c r="J30" s="47">
        <v>339.39668657632166</v>
      </c>
      <c r="K30" s="47">
        <v>351.28322481672348</v>
      </c>
      <c r="L30" s="47">
        <v>353.71456218407837</v>
      </c>
      <c r="M30" s="47">
        <v>352.90411639496006</v>
      </c>
      <c r="N30" s="47">
        <v>351.823522009469</v>
      </c>
      <c r="O30" s="47">
        <v>349.66233323848684</v>
      </c>
      <c r="P30" s="47">
        <v>346.69069867838635</v>
      </c>
      <c r="Q30" s="47">
        <v>327.78029693229263</v>
      </c>
      <c r="R30" s="47">
        <v>255.92077029713613</v>
      </c>
      <c r="S30" s="47">
        <v>303.19677466237067</v>
      </c>
    </row>
    <row r="31" spans="1:19">
      <c r="A31" s="46" t="s">
        <v>426</v>
      </c>
      <c r="C31" s="47">
        <v>70622.087540667009</v>
      </c>
      <c r="D31" s="47">
        <v>116118.12601694546</v>
      </c>
      <c r="E31" s="47">
        <v>988.70922556933817</v>
      </c>
      <c r="F31" s="47">
        <v>1625.6537642372366</v>
      </c>
      <c r="H31" s="47">
        <v>2089.1452654212089</v>
      </c>
      <c r="I31" s="47">
        <v>3949.7220244513865</v>
      </c>
      <c r="J31" s="47">
        <v>4600.4871350041949</v>
      </c>
      <c r="K31" s="47">
        <v>4928.0534658193674</v>
      </c>
      <c r="L31" s="47">
        <v>4984.8316298273294</v>
      </c>
      <c r="M31" s="47">
        <v>4954.2587722845801</v>
      </c>
      <c r="N31" s="47">
        <v>4818.8646888809762</v>
      </c>
      <c r="O31" s="47">
        <v>4600.4871350041949</v>
      </c>
      <c r="P31" s="47">
        <v>4207.4075380259883</v>
      </c>
      <c r="Q31" s="47">
        <v>3312.0595671311848</v>
      </c>
      <c r="R31" s="47">
        <v>1931.9134266299261</v>
      </c>
      <c r="S31" s="47">
        <v>4041.4405970796352</v>
      </c>
    </row>
    <row r="32" spans="1:19">
      <c r="A32" s="46" t="s">
        <v>427</v>
      </c>
      <c r="C32" s="47">
        <v>22809.710918841625</v>
      </c>
      <c r="D32" s="47">
        <v>37036.800431537325</v>
      </c>
      <c r="E32" s="47">
        <v>319.33595286378278</v>
      </c>
      <c r="F32" s="47">
        <v>518.51520604152256</v>
      </c>
      <c r="H32" s="47">
        <v>918.58731083808584</v>
      </c>
      <c r="I32" s="47">
        <v>1345.1460008730869</v>
      </c>
      <c r="J32" s="47">
        <v>1475.2825503752906</v>
      </c>
      <c r="K32" s="47">
        <v>1505.4067516489486</v>
      </c>
      <c r="L32" s="47">
        <v>1510.2266238527343</v>
      </c>
      <c r="M32" s="47">
        <v>1498.176943343271</v>
      </c>
      <c r="N32" s="47">
        <v>1468.0527420696126</v>
      </c>
      <c r="O32" s="47">
        <v>1431.9037005412226</v>
      </c>
      <c r="P32" s="47">
        <v>1343.9410328221404</v>
      </c>
      <c r="Q32" s="47">
        <v>1210.1895791670977</v>
      </c>
      <c r="R32" s="47">
        <v>853.5190360869841</v>
      </c>
      <c r="S32" s="47">
        <v>1317.4317357013215</v>
      </c>
    </row>
    <row r="33" spans="1:19">
      <c r="A33" s="46" t="s">
        <v>428</v>
      </c>
      <c r="C33" s="47">
        <v>21091.90330032022</v>
      </c>
      <c r="D33" s="47">
        <v>34845.003729135547</v>
      </c>
      <c r="E33" s="47">
        <v>295.28664620448308</v>
      </c>
      <c r="F33" s="47">
        <v>487.83005220789767</v>
      </c>
      <c r="H33" s="47">
        <v>685.4651963474729</v>
      </c>
      <c r="I33" s="47">
        <v>1067.0016506019711</v>
      </c>
      <c r="J33" s="47">
        <v>1394.6720294668798</v>
      </c>
      <c r="K33" s="47">
        <v>1594.7460237710679</v>
      </c>
      <c r="L33" s="47">
        <v>1640.0221602280978</v>
      </c>
      <c r="M33" s="47">
        <v>1649.5068844661319</v>
      </c>
      <c r="N33" s="47">
        <v>1630.7163930511588</v>
      </c>
      <c r="O33" s="47">
        <v>1583.4717289220844</v>
      </c>
      <c r="P33" s="47">
        <v>1517.7944875002263</v>
      </c>
      <c r="Q33" s="47">
        <v>1455.1595161169832</v>
      </c>
      <c r="R33" s="47">
        <v>1085.6131849558487</v>
      </c>
      <c r="S33" s="47">
        <v>1296.2456458646407</v>
      </c>
    </row>
    <row r="34" spans="1:19">
      <c r="A34" s="46" t="s">
        <v>429</v>
      </c>
      <c r="C34" s="47">
        <v>755335.4317093445</v>
      </c>
      <c r="D34" s="47">
        <v>1230877.2734600117</v>
      </c>
      <c r="E34" s="47">
        <v>10574.696043930824</v>
      </c>
      <c r="F34" s="47">
        <v>17232.281828440166</v>
      </c>
      <c r="H34" s="47">
        <v>32363.66924141534</v>
      </c>
      <c r="I34" s="47">
        <v>42630.675245774954</v>
      </c>
      <c r="J34" s="47">
        <v>46427.530296443801</v>
      </c>
      <c r="K34" s="47">
        <v>46621.247390865676</v>
      </c>
      <c r="L34" s="47">
        <v>46853.707904171933</v>
      </c>
      <c r="M34" s="47">
        <v>47318.628930784442</v>
      </c>
      <c r="N34" s="47">
        <v>47318.628930784442</v>
      </c>
      <c r="O34" s="47">
        <v>46272.556620906289</v>
      </c>
      <c r="P34" s="47">
        <v>42281.984475815574</v>
      </c>
      <c r="Q34" s="47">
        <v>34959.478306668527</v>
      </c>
      <c r="R34" s="47">
        <v>18687.242375230646</v>
      </c>
      <c r="S34" s="47">
        <v>38368.899168493605</v>
      </c>
    </row>
    <row r="35" spans="1:19">
      <c r="A35" s="46" t="s">
        <v>430</v>
      </c>
      <c r="C35" s="47">
        <v>1127962.2824105946</v>
      </c>
      <c r="D35" s="47">
        <v>1860548.2737294487</v>
      </c>
      <c r="E35" s="47">
        <v>15791.471953748325</v>
      </c>
      <c r="F35" s="47">
        <v>26047.675832212281</v>
      </c>
      <c r="H35" s="47">
        <v>33740.795388930899</v>
      </c>
      <c r="I35" s="47">
        <v>66090.807004066228</v>
      </c>
      <c r="J35" s="47">
        <v>72606.533725135901</v>
      </c>
      <c r="K35" s="47">
        <v>73806.799173753985</v>
      </c>
      <c r="L35" s="47">
        <v>72320.756237369686</v>
      </c>
      <c r="M35" s="47">
        <v>72435.067232476169</v>
      </c>
      <c r="N35" s="47">
        <v>73235.244198221553</v>
      </c>
      <c r="O35" s="47">
        <v>71920.667754496986</v>
      </c>
      <c r="P35" s="47">
        <v>67405.383447790809</v>
      </c>
      <c r="Q35" s="47">
        <v>57803.259858846053</v>
      </c>
      <c r="R35" s="47">
        <v>37341.591734785186</v>
      </c>
      <c r="S35" s="47">
        <v>66376.584491832444</v>
      </c>
    </row>
    <row r="36" spans="1:19">
      <c r="A36" s="46" t="s">
        <v>431</v>
      </c>
      <c r="C36" s="47">
        <v>12934.509121429759</v>
      </c>
      <c r="D36" s="47">
        <v>20533.144720224038</v>
      </c>
      <c r="E36" s="47">
        <v>181.08312770001663</v>
      </c>
      <c r="F36" s="47">
        <v>287.46402608313656</v>
      </c>
      <c r="H36" s="47">
        <v>691.12877812297097</v>
      </c>
      <c r="I36" s="47">
        <v>818.070798594537</v>
      </c>
      <c r="J36" s="47">
        <v>878.07975372655005</v>
      </c>
      <c r="K36" s="47">
        <v>908.85357687117221</v>
      </c>
      <c r="L36" s="47">
        <v>927.31787075794534</v>
      </c>
      <c r="M36" s="47">
        <v>936.55001770133208</v>
      </c>
      <c r="N36" s="47">
        <v>944.24347348748768</v>
      </c>
      <c r="O36" s="47">
        <v>938.85805443717868</v>
      </c>
      <c r="P36" s="47">
        <v>931.16459865102308</v>
      </c>
      <c r="Q36" s="47">
        <v>910.39226802840324</v>
      </c>
      <c r="R36" s="47">
        <v>824.22556322346145</v>
      </c>
      <c r="S36" s="47">
        <v>854.23004078946803</v>
      </c>
    </row>
    <row r="37" spans="1:19">
      <c r="A37" s="46" t="s">
        <v>432</v>
      </c>
      <c r="C37" s="47">
        <v>15196.325716790157</v>
      </c>
      <c r="D37" s="47">
        <v>24912.91166135807</v>
      </c>
      <c r="E37" s="47">
        <v>212.74856003506221</v>
      </c>
      <c r="F37" s="47">
        <v>348.78076325901299</v>
      </c>
      <c r="H37" s="47">
        <v>642.27046119063857</v>
      </c>
      <c r="I37" s="47">
        <v>821.81196960259751</v>
      </c>
      <c r="J37" s="47">
        <v>960.22944536153773</v>
      </c>
      <c r="K37" s="47">
        <v>1041.4744854809157</v>
      </c>
      <c r="L37" s="47">
        <v>1086.6106188805702</v>
      </c>
      <c r="M37" s="47">
        <v>1100.652971493796</v>
      </c>
      <c r="N37" s="47">
        <v>1123.7225507869528</v>
      </c>
      <c r="O37" s="47">
        <v>1116.7013744803398</v>
      </c>
      <c r="P37" s="47">
        <v>1105.6680974270912</v>
      </c>
      <c r="Q37" s="47">
        <v>1071.5652410806854</v>
      </c>
      <c r="R37" s="47">
        <v>915.09331196188327</v>
      </c>
      <c r="S37" s="47">
        <v>936.15684088172202</v>
      </c>
    </row>
    <row r="38" spans="1:19">
      <c r="A38" s="46" t="s">
        <v>433</v>
      </c>
      <c r="C38" s="47">
        <v>234147.69500123043</v>
      </c>
      <c r="D38" s="47">
        <v>390364.14566638431</v>
      </c>
      <c r="E38" s="47">
        <v>3278.067730017226</v>
      </c>
      <c r="F38" s="47">
        <v>5465.0980393293803</v>
      </c>
      <c r="H38" s="47">
        <v>6188.3498648217437</v>
      </c>
      <c r="I38" s="47">
        <v>11760.643942202401</v>
      </c>
      <c r="J38" s="47">
        <v>15415.290681232605</v>
      </c>
      <c r="K38" s="47">
        <v>16262.946388764331</v>
      </c>
      <c r="L38" s="47">
        <v>16193.46641273714</v>
      </c>
      <c r="M38" s="47">
        <v>16012.818475066444</v>
      </c>
      <c r="N38" s="47">
        <v>15748.79456616312</v>
      </c>
      <c r="O38" s="47">
        <v>15443.082671643484</v>
      </c>
      <c r="P38" s="47">
        <v>14901.138858631401</v>
      </c>
      <c r="Q38" s="47">
        <v>13442.059362060403</v>
      </c>
      <c r="R38" s="47">
        <v>8161.5811839939461</v>
      </c>
      <c r="S38" s="47">
        <v>12914.011544253757</v>
      </c>
    </row>
    <row r="39" spans="1:19">
      <c r="A39" s="46" t="s">
        <v>434</v>
      </c>
      <c r="C39" s="47">
        <v>152286.95166747231</v>
      </c>
      <c r="D39" s="47">
        <v>248456.29150863193</v>
      </c>
      <c r="E39" s="47">
        <v>2132.0173233446126</v>
      </c>
      <c r="F39" s="47">
        <v>3478.3880811208469</v>
      </c>
      <c r="H39" s="47">
        <v>5446.7317627915036</v>
      </c>
      <c r="I39" s="47">
        <v>8649.5730337796231</v>
      </c>
      <c r="J39" s="47">
        <v>9961.6784908510945</v>
      </c>
      <c r="K39" s="47">
        <v>10067.624894217111</v>
      </c>
      <c r="L39" s="47">
        <v>10116.5232342322</v>
      </c>
      <c r="M39" s="47">
        <v>10108.37351089635</v>
      </c>
      <c r="N39" s="47">
        <v>9863.8818108209216</v>
      </c>
      <c r="O39" s="47">
        <v>8934.8133505342921</v>
      </c>
      <c r="P39" s="47">
        <v>8185.0388036363074</v>
      </c>
      <c r="Q39" s="47">
        <v>6750.6874965271245</v>
      </c>
      <c r="R39" s="47">
        <v>4436.1660691463967</v>
      </c>
      <c r="S39" s="47">
        <v>8502.8780137343656</v>
      </c>
    </row>
    <row r="40" spans="1:19">
      <c r="A40" s="46" t="s">
        <v>435</v>
      </c>
      <c r="C40" s="47">
        <v>99469.748492932471</v>
      </c>
      <c r="D40" s="47">
        <v>163137.98316247491</v>
      </c>
      <c r="E40" s="47">
        <v>1392.5764789010545</v>
      </c>
      <c r="F40" s="47">
        <v>2283.9317642746487</v>
      </c>
      <c r="H40" s="47">
        <v>3446.1503232756231</v>
      </c>
      <c r="I40" s="47">
        <v>5792.0348198994443</v>
      </c>
      <c r="J40" s="47">
        <v>6432.3232942720642</v>
      </c>
      <c r="K40" s="47">
        <v>6537.1981305917179</v>
      </c>
      <c r="L40" s="47">
        <v>6559.2770435011189</v>
      </c>
      <c r="M40" s="47">
        <v>6504.0797612276174</v>
      </c>
      <c r="N40" s="47">
        <v>6421.2838378173647</v>
      </c>
      <c r="O40" s="47">
        <v>6206.014436950707</v>
      </c>
      <c r="P40" s="47">
        <v>5747.8769940806433</v>
      </c>
      <c r="Q40" s="47">
        <v>5052.3912374345227</v>
      </c>
      <c r="R40" s="47">
        <v>3407.5122256841714</v>
      </c>
      <c r="S40" s="47">
        <v>5565.7259625780889</v>
      </c>
    </row>
    <row r="41" spans="1:19">
      <c r="A41" s="46" t="s">
        <v>436</v>
      </c>
      <c r="C41" s="47">
        <v>34230.818747114245</v>
      </c>
      <c r="D41" s="47">
        <v>57178.721511505741</v>
      </c>
      <c r="E41" s="47">
        <v>479.23146245959941</v>
      </c>
      <c r="F41" s="47">
        <v>800.50210116108042</v>
      </c>
      <c r="H41" s="47">
        <v>1044.5786585860797</v>
      </c>
      <c r="I41" s="47">
        <v>1498.4831329798672</v>
      </c>
      <c r="J41" s="47">
        <v>2157.5421720714116</v>
      </c>
      <c r="K41" s="47">
        <v>2467.8384511767695</v>
      </c>
      <c r="L41" s="47">
        <v>2552.4647091145939</v>
      </c>
      <c r="M41" s="47">
        <v>2626.8332388175309</v>
      </c>
      <c r="N41" s="47">
        <v>2621.7043747000871</v>
      </c>
      <c r="O41" s="47">
        <v>2462.7095870593253</v>
      </c>
      <c r="P41" s="47">
        <v>2393.4699214738321</v>
      </c>
      <c r="Q41" s="47">
        <v>2226.7818376569048</v>
      </c>
      <c r="R41" s="47">
        <v>1577.9805268002478</v>
      </c>
      <c r="S41" s="47">
        <v>1995.9829523719279</v>
      </c>
    </row>
    <row r="42" spans="1:19">
      <c r="A42" s="46" t="s">
        <v>437</v>
      </c>
      <c r="C42" s="47">
        <v>12987.529022058457</v>
      </c>
      <c r="D42" s="47">
        <v>21409.011635964518</v>
      </c>
      <c r="E42" s="47">
        <v>181.8254063088184</v>
      </c>
      <c r="F42" s="47">
        <v>299.72616290350328</v>
      </c>
      <c r="H42" s="47">
        <v>452.33557867549263</v>
      </c>
      <c r="I42" s="47">
        <v>685.60881723368993</v>
      </c>
      <c r="J42" s="47">
        <v>868.20545569131309</v>
      </c>
      <c r="K42" s="47">
        <v>919.68644626967398</v>
      </c>
      <c r="L42" s="47">
        <v>951.05767490336257</v>
      </c>
      <c r="M42" s="47">
        <v>958.29718920344442</v>
      </c>
      <c r="N42" s="47">
        <v>953.47084633672318</v>
      </c>
      <c r="O42" s="47">
        <v>946.23133203664111</v>
      </c>
      <c r="P42" s="47">
        <v>927.73035104754285</v>
      </c>
      <c r="Q42" s="47">
        <v>899.57668432500168</v>
      </c>
      <c r="R42" s="47">
        <v>724.21956016746049</v>
      </c>
      <c r="S42" s="47">
        <v>799.02787460164086</v>
      </c>
    </row>
    <row r="43" spans="1:19">
      <c r="A43" s="46" t="s">
        <v>438</v>
      </c>
      <c r="C43" s="47">
        <v>91949.37797736621</v>
      </c>
      <c r="D43" s="47">
        <v>152028.42849093929</v>
      </c>
      <c r="E43" s="47">
        <v>1287.2912916831269</v>
      </c>
      <c r="F43" s="47">
        <v>2128.3979988731503</v>
      </c>
      <c r="H43" s="47">
        <v>2751.2927792000983</v>
      </c>
      <c r="I43" s="47">
        <v>4236.083147865038</v>
      </c>
      <c r="J43" s="47">
        <v>6148.8043651408325</v>
      </c>
      <c r="K43" s="47">
        <v>6907.409051314623</v>
      </c>
      <c r="L43" s="47">
        <v>7413.145508763816</v>
      </c>
      <c r="M43" s="47">
        <v>7315.8884977158941</v>
      </c>
      <c r="N43" s="47">
        <v>7160.2772800392186</v>
      </c>
      <c r="O43" s="47">
        <v>7160.2772800392186</v>
      </c>
      <c r="P43" s="47">
        <v>6712.8950292187801</v>
      </c>
      <c r="Q43" s="47">
        <v>4553.7893839549151</v>
      </c>
      <c r="R43" s="47">
        <v>4041.5691257691933</v>
      </c>
      <c r="S43" s="47">
        <v>5604.1651032724712</v>
      </c>
    </row>
    <row r="44" spans="1:19">
      <c r="A44" s="46" t="s">
        <v>439</v>
      </c>
      <c r="C44" s="47">
        <v>229552.02184208034</v>
      </c>
      <c r="D44" s="47">
        <v>377440.15720071562</v>
      </c>
      <c r="E44" s="47">
        <v>3213.728305789125</v>
      </c>
      <c r="F44" s="47">
        <v>5284.1622008100185</v>
      </c>
      <c r="H44" s="47">
        <v>7338.3211235286044</v>
      </c>
      <c r="I44" s="47">
        <v>13158.963612813925</v>
      </c>
      <c r="J44" s="47">
        <v>14982.764926123325</v>
      </c>
      <c r="K44" s="47">
        <v>15280.264431131242</v>
      </c>
      <c r="L44" s="47">
        <v>15487.220608528054</v>
      </c>
      <c r="M44" s="47">
        <v>15150.916820258233</v>
      </c>
      <c r="N44" s="47">
        <v>15112.112536996332</v>
      </c>
      <c r="O44" s="47">
        <v>14129.070694361479</v>
      </c>
      <c r="P44" s="47">
        <v>13352.985029123436</v>
      </c>
      <c r="Q44" s="47">
        <v>11710.270371036246</v>
      </c>
      <c r="R44" s="47">
        <v>7519.407778750814</v>
      </c>
      <c r="S44" s="47">
        <v>12628.638408234596</v>
      </c>
    </row>
    <row r="45" spans="1:19">
      <c r="A45" s="46" t="s">
        <v>440</v>
      </c>
      <c r="C45" s="47">
        <v>44029.583937195966</v>
      </c>
      <c r="D45" s="47">
        <v>71619.242718629335</v>
      </c>
      <c r="E45" s="47">
        <v>616.41417512074349</v>
      </c>
      <c r="F45" s="47">
        <v>1002.6693980608107</v>
      </c>
      <c r="H45" s="47">
        <v>1795.5971770554729</v>
      </c>
      <c r="I45" s="47">
        <v>2491.3795788258149</v>
      </c>
      <c r="J45" s="47">
        <v>2916.5799354632463</v>
      </c>
      <c r="K45" s="47">
        <v>3098.8086597364309</v>
      </c>
      <c r="L45" s="47">
        <v>3181.6398980424246</v>
      </c>
      <c r="M45" s="47">
        <v>3170.5957329349585</v>
      </c>
      <c r="N45" s="47">
        <v>3159.5515678274924</v>
      </c>
      <c r="O45" s="47">
        <v>2966.2786784468422</v>
      </c>
      <c r="P45" s="47">
        <v>2814.4214082191879</v>
      </c>
      <c r="Q45" s="47">
        <v>2480.3354137183492</v>
      </c>
      <c r="R45" s="47">
        <v>1776.2698881174076</v>
      </c>
      <c r="S45" s="47">
        <v>2706.7407984213974</v>
      </c>
    </row>
    <row r="46" spans="1:19">
      <c r="A46" s="46" t="s">
        <v>441</v>
      </c>
      <c r="C46" s="47">
        <v>333841.56273622805</v>
      </c>
      <c r="D46" s="47">
        <v>549956.47565514431</v>
      </c>
      <c r="E46" s="47">
        <v>4673.7818783071925</v>
      </c>
      <c r="F46" s="47">
        <v>7699.3906591720206</v>
      </c>
      <c r="H46" s="47">
        <v>9007.2176073785849</v>
      </c>
      <c r="I46" s="47">
        <v>16865.55541789766</v>
      </c>
      <c r="J46" s="47">
        <v>22714.994840765237</v>
      </c>
      <c r="K46" s="47">
        <v>24034.565350301022</v>
      </c>
      <c r="L46" s="47">
        <v>24270.90633708355</v>
      </c>
      <c r="M46" s="47">
        <v>23798.224363518493</v>
      </c>
      <c r="N46" s="47">
        <v>22222.617784968304</v>
      </c>
      <c r="O46" s="47">
        <v>21001.522686591907</v>
      </c>
      <c r="P46" s="47">
        <v>18579.027572070991</v>
      </c>
      <c r="Q46" s="47">
        <v>12591.722573580268</v>
      </c>
      <c r="R46" s="47">
        <v>7254.355288741499</v>
      </c>
      <c r="S46" s="47">
        <v>16629.214431115128</v>
      </c>
    </row>
    <row r="47" spans="1:19">
      <c r="A47" s="46" t="s">
        <v>442</v>
      </c>
      <c r="C47" s="47">
        <v>166038.05991945948</v>
      </c>
      <c r="D47" s="47">
        <v>271880.52976281167</v>
      </c>
      <c r="E47" s="47">
        <v>2324.5328388724329</v>
      </c>
      <c r="F47" s="47">
        <v>3806.3274166793635</v>
      </c>
      <c r="H47" s="47">
        <v>4977.2552250924728</v>
      </c>
      <c r="I47" s="47">
        <v>10042.843990015937</v>
      </c>
      <c r="J47" s="47">
        <v>10521.883571407092</v>
      </c>
      <c r="K47" s="47">
        <v>11102.846467987849</v>
      </c>
      <c r="L47" s="47">
        <v>11306.693098367063</v>
      </c>
      <c r="M47" s="47">
        <v>11429.001076594594</v>
      </c>
      <c r="N47" s="47">
        <v>10990.730821279281</v>
      </c>
      <c r="O47" s="47">
        <v>11092.654136468889</v>
      </c>
      <c r="P47" s="47">
        <v>9543.4197455868616</v>
      </c>
      <c r="Q47" s="47">
        <v>5874.1803987610137</v>
      </c>
      <c r="R47" s="47">
        <v>4019.1760623101673</v>
      </c>
      <c r="S47" s="47">
        <v>9003.2261750819471</v>
      </c>
    </row>
    <row r="48" spans="1:19">
      <c r="A48" s="46" t="s">
        <v>443</v>
      </c>
      <c r="C48" s="47">
        <v>6164.2631907570276</v>
      </c>
      <c r="D48" s="47">
        <v>10232.765956692989</v>
      </c>
      <c r="E48" s="47">
        <v>86.299684670598381</v>
      </c>
      <c r="F48" s="47">
        <v>143.25872339370184</v>
      </c>
      <c r="H48" s="47">
        <v>161.23300576057181</v>
      </c>
      <c r="I48" s="47">
        <v>302.83869267202249</v>
      </c>
      <c r="J48" s="47">
        <v>413.01658682506445</v>
      </c>
      <c r="K48" s="47">
        <v>437.58083863623443</v>
      </c>
      <c r="L48" s="47">
        <v>434.69092665844977</v>
      </c>
      <c r="M48" s="47">
        <v>415.90649880284911</v>
      </c>
      <c r="N48" s="47">
        <v>418.43517178341079</v>
      </c>
      <c r="O48" s="47">
        <v>408.3204798611643</v>
      </c>
      <c r="P48" s="47">
        <v>369.30666816107077</v>
      </c>
      <c r="Q48" s="47">
        <v>268.52098793582911</v>
      </c>
      <c r="R48" s="47">
        <v>145.69972887997901</v>
      </c>
      <c r="S48" s="47">
        <v>321.98435952484613</v>
      </c>
    </row>
    <row r="49" spans="1:19">
      <c r="A49" s="46" t="s">
        <v>444</v>
      </c>
      <c r="C49" s="47">
        <v>549961.24082147097</v>
      </c>
      <c r="D49" s="47">
        <v>914685.70796316979</v>
      </c>
      <c r="E49" s="47">
        <v>7699.4573715005936</v>
      </c>
      <c r="F49" s="47">
        <v>12805.599911484378</v>
      </c>
      <c r="H49" s="47">
        <v>13140.342203577053</v>
      </c>
      <c r="I49" s="47">
        <v>29492.317775337549</v>
      </c>
      <c r="J49" s="47">
        <v>36969.243408521717</v>
      </c>
      <c r="K49" s="47">
        <v>37090.819435077552</v>
      </c>
      <c r="L49" s="47">
        <v>37485.94152138404</v>
      </c>
      <c r="M49" s="47">
        <v>37425.153508106116</v>
      </c>
      <c r="N49" s="47">
        <v>37607.517547939875</v>
      </c>
      <c r="O49" s="47">
        <v>35054.420990267237</v>
      </c>
      <c r="P49" s="47">
        <v>32501.324432594593</v>
      </c>
      <c r="Q49" s="47">
        <v>27243.161284054506</v>
      </c>
      <c r="R49" s="47">
        <v>12988.372170382252</v>
      </c>
      <c r="S49" s="47">
        <v>29279.559728864828</v>
      </c>
    </row>
    <row r="50" spans="1:19">
      <c r="A50" s="46" t="s">
        <v>445</v>
      </c>
      <c r="C50" s="47">
        <v>449247.68403568008</v>
      </c>
      <c r="D50" s="47">
        <v>753416.51749515568</v>
      </c>
      <c r="E50" s="47">
        <v>6289.4675764995209</v>
      </c>
      <c r="F50" s="47">
        <v>10547.83124493218</v>
      </c>
      <c r="H50" s="47">
        <v>10223.081297804063</v>
      </c>
      <c r="I50" s="47">
        <v>22088.390121159493</v>
      </c>
      <c r="J50" s="47">
        <v>29542.899360180625</v>
      </c>
      <c r="K50" s="47">
        <v>29336.546163252704</v>
      </c>
      <c r="L50" s="47">
        <v>31477.460581379877</v>
      </c>
      <c r="M50" s="47">
        <v>32612.403164483439</v>
      </c>
      <c r="N50" s="47">
        <v>33076.697857571264</v>
      </c>
      <c r="O50" s="47">
        <v>32792.96221179537</v>
      </c>
      <c r="P50" s="47">
        <v>31606.431329459829</v>
      </c>
      <c r="Q50" s="47">
        <v>20876.065089207965</v>
      </c>
      <c r="R50" s="47">
        <v>10455.228644347973</v>
      </c>
      <c r="S50" s="47">
        <v>24177.716240054688</v>
      </c>
    </row>
    <row r="51" spans="1:19">
      <c r="A51" s="46" t="s">
        <v>446</v>
      </c>
      <c r="C51" s="47">
        <v>1238461.0307608352</v>
      </c>
      <c r="D51" s="47">
        <v>2029871.3189527593</v>
      </c>
      <c r="E51" s="47">
        <v>17338.454430651691</v>
      </c>
      <c r="F51" s="47">
        <v>28418.198465338632</v>
      </c>
      <c r="H51" s="47">
        <v>52168.010382232707</v>
      </c>
      <c r="I51" s="47">
        <v>67486.512615188476</v>
      </c>
      <c r="J51" s="47">
        <v>72337.371655624476</v>
      </c>
      <c r="K51" s="47">
        <v>76358.478491775357</v>
      </c>
      <c r="L51" s="47">
        <v>77698.847437158998</v>
      </c>
      <c r="M51" s="47">
        <v>78017.982900345582</v>
      </c>
      <c r="N51" s="47">
        <v>78081.809992982875</v>
      </c>
      <c r="O51" s="47">
        <v>76677.613954961926</v>
      </c>
      <c r="P51" s="47">
        <v>75273.417916940991</v>
      </c>
      <c r="Q51" s="47">
        <v>60657.01370299569</v>
      </c>
      <c r="R51" s="47">
        <v>26828.654605218369</v>
      </c>
      <c r="S51" s="47">
        <v>61103.803351456903</v>
      </c>
    </row>
    <row r="52" spans="1:19">
      <c r="A52" s="46" t="s">
        <v>447</v>
      </c>
      <c r="C52" s="47">
        <v>143636.44516018819</v>
      </c>
      <c r="D52" s="47">
        <v>235294.77770477493</v>
      </c>
      <c r="E52" s="47">
        <v>2010.9102322426347</v>
      </c>
      <c r="F52" s="47">
        <v>3294.1268878668488</v>
      </c>
      <c r="H52" s="47">
        <v>5374.8817675030859</v>
      </c>
      <c r="I52" s="47">
        <v>7702.9683739359234</v>
      </c>
      <c r="J52" s="47">
        <v>9422.5777991419964</v>
      </c>
      <c r="K52" s="47">
        <v>9726.8163897553786</v>
      </c>
      <c r="L52" s="47">
        <v>10123.649334033706</v>
      </c>
      <c r="M52" s="47">
        <v>10692.443220832636</v>
      </c>
      <c r="N52" s="47">
        <v>11419.970285342899</v>
      </c>
      <c r="O52" s="47">
        <v>10044.282745178039</v>
      </c>
      <c r="P52" s="47">
        <v>8747.9617938688443</v>
      </c>
      <c r="Q52" s="47">
        <v>8245.3067311162995</v>
      </c>
      <c r="R52" s="47">
        <v>6102.4088320133478</v>
      </c>
      <c r="S52" s="47">
        <v>8681.8229698224568</v>
      </c>
    </row>
    <row r="53" spans="1:19">
      <c r="A53" s="46" t="s">
        <v>448</v>
      </c>
      <c r="C53" s="47">
        <v>150229.71528836945</v>
      </c>
      <c r="D53" s="47">
        <v>245734.17685654332</v>
      </c>
      <c r="E53" s="47">
        <v>2103.2160140371725</v>
      </c>
      <c r="F53" s="47">
        <v>3440.2784759916067</v>
      </c>
      <c r="H53" s="47">
        <v>4921.3592708612632</v>
      </c>
      <c r="I53" s="47">
        <v>8979.5254500705814</v>
      </c>
      <c r="J53" s="47">
        <v>9970.1698706912721</v>
      </c>
      <c r="K53" s="47">
        <v>10152.657000805608</v>
      </c>
      <c r="L53" s="47">
        <v>10230.865770854611</v>
      </c>
      <c r="M53" s="47">
        <v>10274.315087548501</v>
      </c>
      <c r="N53" s="47">
        <v>9952.7901440137139</v>
      </c>
      <c r="O53" s="47">
        <v>9605.1956104625951</v>
      </c>
      <c r="P53" s="47">
        <v>8996.905176748136</v>
      </c>
      <c r="Q53" s="47">
        <v>8006.2607561274463</v>
      </c>
      <c r="R53" s="47">
        <v>5494.8902512206096</v>
      </c>
      <c r="S53" s="47">
        <v>8536.3424197929035</v>
      </c>
    </row>
    <row r="54" spans="1:19">
      <c r="A54" s="46" t="s">
        <v>449</v>
      </c>
      <c r="C54" s="47">
        <v>113878.83395041585</v>
      </c>
      <c r="D54" s="47">
        <v>187881.09920110754</v>
      </c>
      <c r="E54" s="47">
        <v>1594.303675305822</v>
      </c>
      <c r="F54" s="47">
        <v>2630.3353888155057</v>
      </c>
      <c r="H54" s="47">
        <v>4105.2166243015554</v>
      </c>
      <c r="I54" s="47">
        <v>6102.0008610172708</v>
      </c>
      <c r="J54" s="47">
        <v>7158.3641346346167</v>
      </c>
      <c r="K54" s="47">
        <v>7409.5724740923997</v>
      </c>
      <c r="L54" s="47">
        <v>7512.6323056648234</v>
      </c>
      <c r="M54" s="47">
        <v>7519.0735451381006</v>
      </c>
      <c r="N54" s="47">
        <v>7512.6323056648234</v>
      </c>
      <c r="O54" s="47">
        <v>7319.3951214665285</v>
      </c>
      <c r="P54" s="47">
        <v>7151.9228951613395</v>
      </c>
      <c r="Q54" s="47">
        <v>6443.3865531009251</v>
      </c>
      <c r="R54" s="47">
        <v>4768.6642900490351</v>
      </c>
      <c r="S54" s="47">
        <v>6411.180355734542</v>
      </c>
    </row>
    <row r="55" spans="1:19">
      <c r="A55" s="46" t="s">
        <v>450</v>
      </c>
      <c r="C55" s="47">
        <v>41207.606513347659</v>
      </c>
      <c r="D55" s="47">
        <v>67744.843139080142</v>
      </c>
      <c r="E55" s="47">
        <v>576.90649118686724</v>
      </c>
      <c r="F55" s="47">
        <v>948.42780394712202</v>
      </c>
      <c r="H55" s="47">
        <v>1404.3276836257292</v>
      </c>
      <c r="I55" s="47">
        <v>2070.666839631815</v>
      </c>
      <c r="J55" s="47">
        <v>2752.3594324122346</v>
      </c>
      <c r="K55" s="47">
        <v>2829.1266162839033</v>
      </c>
      <c r="L55" s="47">
        <v>2822.9852415741702</v>
      </c>
      <c r="M55" s="47">
        <v>2832.1973036387703</v>
      </c>
      <c r="N55" s="47">
        <v>2878.2576139617713</v>
      </c>
      <c r="O55" s="47">
        <v>2783.0663059609019</v>
      </c>
      <c r="P55" s="47">
        <v>2743.1473703476345</v>
      </c>
      <c r="Q55" s="47">
        <v>1742.1032926610721</v>
      </c>
      <c r="R55" s="47">
        <v>1361.3380606575947</v>
      </c>
      <c r="S55" s="47">
        <v>2319.3925153760224</v>
      </c>
    </row>
    <row r="56" spans="1:19">
      <c r="A56" s="46" t="s">
        <v>451</v>
      </c>
      <c r="C56" s="47">
        <v>57044.722019174071</v>
      </c>
      <c r="D56" s="47">
        <v>93107.937841109713</v>
      </c>
      <c r="E56" s="47">
        <v>798.62610826843695</v>
      </c>
      <c r="F56" s="47">
        <v>1303.5111297755361</v>
      </c>
      <c r="H56" s="47">
        <v>2290.7774446322369</v>
      </c>
      <c r="I56" s="47">
        <v>3192.7493814384688</v>
      </c>
      <c r="J56" s="47">
        <v>3661.0809640109351</v>
      </c>
      <c r="K56" s="47">
        <v>3782.5002631963889</v>
      </c>
      <c r="L56" s="47">
        <v>3827.5988600367009</v>
      </c>
      <c r="M56" s="47">
        <v>3890.0430710463629</v>
      </c>
      <c r="N56" s="47">
        <v>3810.2532458673504</v>
      </c>
      <c r="O56" s="47">
        <v>3629.8588585061034</v>
      </c>
      <c r="P56" s="47">
        <v>3400.896751470676</v>
      </c>
      <c r="Q56" s="47">
        <v>3123.3669247610665</v>
      </c>
      <c r="R56" s="47">
        <v>2127.7286714403413</v>
      </c>
      <c r="S56" s="47">
        <v>3265.600960949741</v>
      </c>
    </row>
    <row r="57" spans="1:19">
      <c r="A57" s="46" t="s">
        <v>452</v>
      </c>
      <c r="C57" s="47">
        <v>1149737.0308837888</v>
      </c>
      <c r="D57" s="47">
        <v>1837441.4284766661</v>
      </c>
      <c r="E57" s="47">
        <v>16096.318432373044</v>
      </c>
      <c r="F57" s="47">
        <v>25724.179998673328</v>
      </c>
      <c r="H57" s="47">
        <v>68330.106174420449</v>
      </c>
      <c r="I57" s="47">
        <v>69329.362601762259</v>
      </c>
      <c r="J57" s="47">
        <v>69400.738060858101</v>
      </c>
      <c r="K57" s="47">
        <v>71684.752751925073</v>
      </c>
      <c r="L57" s="47">
        <v>71970.254588308453</v>
      </c>
      <c r="M57" s="47">
        <v>73683.265606608693</v>
      </c>
      <c r="N57" s="47">
        <v>75253.525706717221</v>
      </c>
      <c r="O57" s="47">
        <v>74753.89749304633</v>
      </c>
      <c r="P57" s="47">
        <v>76181.406674963189</v>
      </c>
      <c r="Q57" s="47">
        <v>72398.507342883502</v>
      </c>
      <c r="R57" s="47">
        <v>58123.415523714888</v>
      </c>
      <c r="S57" s="47">
        <v>51770.999664184856</v>
      </c>
    </row>
    <row r="58" spans="1:19">
      <c r="A58" s="46" t="s">
        <v>453</v>
      </c>
      <c r="C58" s="47">
        <v>370908.72279981157</v>
      </c>
      <c r="D58" s="47">
        <v>615340.22708052734</v>
      </c>
      <c r="E58" s="47">
        <v>5192.7221191973622</v>
      </c>
      <c r="F58" s="47">
        <v>8614.7631791273834</v>
      </c>
      <c r="H58" s="47">
        <v>9793.4658072946186</v>
      </c>
      <c r="I58" s="47">
        <v>21378.087043878866</v>
      </c>
      <c r="J58" s="47">
        <v>23952.447318675368</v>
      </c>
      <c r="K58" s="47">
        <v>24075.035903189484</v>
      </c>
      <c r="L58" s="47">
        <v>24626.684533503019</v>
      </c>
      <c r="M58" s="47">
        <v>25484.804625101853</v>
      </c>
      <c r="N58" s="47">
        <v>25035.313148550082</v>
      </c>
      <c r="O58" s="47">
        <v>24994.450287045376</v>
      </c>
      <c r="P58" s="47">
        <v>23768.564441904186</v>
      </c>
      <c r="Q58" s="47">
        <v>20376.946937013559</v>
      </c>
      <c r="R58" s="47">
        <v>9793.4658072946186</v>
      </c>
      <c r="S58" s="47">
        <v>19804.866875947671</v>
      </c>
    </row>
    <row r="59" spans="1:19">
      <c r="A59" s="46" t="s">
        <v>454</v>
      </c>
      <c r="C59" s="47">
        <v>59377.787730979333</v>
      </c>
      <c r="D59" s="47">
        <v>95497.041650444589</v>
      </c>
      <c r="E59" s="47">
        <v>831.28902823371072</v>
      </c>
      <c r="F59" s="47">
        <v>1336.9585831062243</v>
      </c>
      <c r="H59" s="47">
        <v>1912.6059581014683</v>
      </c>
      <c r="I59" s="47">
        <v>3534.5560501292489</v>
      </c>
      <c r="J59" s="47">
        <v>4627.9040230281989</v>
      </c>
      <c r="K59" s="47">
        <v>4984.8234026109139</v>
      </c>
      <c r="L59" s="47">
        <v>5030.003070912524</v>
      </c>
      <c r="M59" s="47">
        <v>4939.6437343093039</v>
      </c>
      <c r="N59" s="47">
        <v>4758.9250611028656</v>
      </c>
      <c r="O59" s="47">
        <v>4415.5595820106337</v>
      </c>
      <c r="P59" s="47">
        <v>3968.2808658247004</v>
      </c>
      <c r="Q59" s="47">
        <v>3146.0109027354074</v>
      </c>
      <c r="R59" s="47">
        <v>2400.5463757588514</v>
      </c>
      <c r="S59" s="47">
        <v>3814.6699935992278</v>
      </c>
    </row>
    <row r="60" spans="1:19">
      <c r="A60" s="46" t="s">
        <v>361</v>
      </c>
      <c r="C60" s="47">
        <v>19876.772545527492</v>
      </c>
      <c r="D60" s="47">
        <v>31981.74911512202</v>
      </c>
      <c r="E60" s="47">
        <v>278.2748156373849</v>
      </c>
      <c r="F60" s="47">
        <v>447.74448761170828</v>
      </c>
      <c r="H60" s="47">
        <v>1039.2250514626812</v>
      </c>
      <c r="I60" s="47">
        <v>1160.2606446450059</v>
      </c>
      <c r="J60" s="47">
        <v>1224.8129610089122</v>
      </c>
      <c r="K60" s="47">
        <v>1243.9769299294469</v>
      </c>
      <c r="L60" s="47">
        <v>1253.0545994181211</v>
      </c>
      <c r="M60" s="47">
        <v>1237.9251502703307</v>
      </c>
      <c r="N60" s="47">
        <v>1233.8906304975865</v>
      </c>
      <c r="O60" s="47">
        <v>1191.5281728837729</v>
      </c>
      <c r="P60" s="47">
        <v>1162.277904531378</v>
      </c>
      <c r="Q60" s="47">
        <v>1071.5012096446344</v>
      </c>
      <c r="R60" s="47">
        <v>866.74933117786873</v>
      </c>
      <c r="S60" s="47">
        <v>1155.2174949290757</v>
      </c>
    </row>
    <row r="61" spans="1:19">
      <c r="A61" s="46" t="s">
        <v>455</v>
      </c>
      <c r="C61" s="47">
        <v>96650.796660261185</v>
      </c>
      <c r="D61" s="47">
        <v>156751.24503315988</v>
      </c>
      <c r="E61" s="47">
        <v>1353.1111532436566</v>
      </c>
      <c r="F61" s="47">
        <v>2194.5174304642383</v>
      </c>
      <c r="H61" s="47">
        <v>3212.9405796963401</v>
      </c>
      <c r="I61" s="47">
        <v>5939.9605502078357</v>
      </c>
      <c r="J61" s="47">
        <v>6568.3061655330666</v>
      </c>
      <c r="K61" s="47">
        <v>6794.5105870501493</v>
      </c>
      <c r="L61" s="47">
        <v>6643.7076393720945</v>
      </c>
      <c r="M61" s="47">
        <v>6725.3925693643732</v>
      </c>
      <c r="N61" s="47">
        <v>6580.8730778395711</v>
      </c>
      <c r="O61" s="47">
        <v>6053.0627609663779</v>
      </c>
      <c r="P61" s="47">
        <v>5280.1976541163458</v>
      </c>
      <c r="Q61" s="47">
        <v>4683.2693195573775</v>
      </c>
      <c r="R61" s="47">
        <v>3734.4674404162806</v>
      </c>
      <c r="S61" s="47">
        <v>5713.7561286907539</v>
      </c>
    </row>
    <row r="62" spans="1:19">
      <c r="A62" s="46" t="s">
        <v>456</v>
      </c>
      <c r="C62" s="47">
        <v>909842.65221516159</v>
      </c>
      <c r="D62" s="47">
        <v>1498747.4276467597</v>
      </c>
      <c r="E62" s="47">
        <v>12737.797131012263</v>
      </c>
      <c r="F62" s="47">
        <v>20982.463987054634</v>
      </c>
      <c r="H62" s="47">
        <v>33155.254427845677</v>
      </c>
      <c r="I62" s="47">
        <v>50013.044342148656</v>
      </c>
      <c r="J62" s="47">
        <v>55488.223972435102</v>
      </c>
      <c r="K62" s="47">
        <v>56929.060717247325</v>
      </c>
      <c r="L62" s="47">
        <v>58417.925353553284</v>
      </c>
      <c r="M62" s="47">
        <v>59330.455291934362</v>
      </c>
      <c r="N62" s="47">
        <v>59906.789989859251</v>
      </c>
      <c r="O62" s="47">
        <v>58802.14848550321</v>
      </c>
      <c r="P62" s="47">
        <v>56496.809693803654</v>
      </c>
      <c r="Q62" s="47">
        <v>44009.557905431073</v>
      </c>
      <c r="R62" s="47">
        <v>19179.138003167121</v>
      </c>
      <c r="S62" s="47">
        <v>44537.864711862218</v>
      </c>
    </row>
    <row r="63" spans="1:19">
      <c r="A63" s="46" t="s">
        <v>457</v>
      </c>
      <c r="C63" s="47">
        <v>777271.24850372772</v>
      </c>
      <c r="D63" s="47">
        <v>1285788.3637959484</v>
      </c>
      <c r="E63" s="47">
        <v>10881.797479052188</v>
      </c>
      <c r="F63" s="47">
        <v>18001.037093143277</v>
      </c>
      <c r="H63" s="47">
        <v>20688.360160995755</v>
      </c>
      <c r="I63" s="47">
        <v>41667.491371337906</v>
      </c>
      <c r="J63" s="47">
        <v>51829.93954599429</v>
      </c>
      <c r="K63" s="47">
        <v>52440.558749621719</v>
      </c>
      <c r="L63" s="47">
        <v>52876.715323641307</v>
      </c>
      <c r="M63" s="47">
        <v>53661.797156876557</v>
      </c>
      <c r="N63" s="47">
        <v>53138.409268053052</v>
      </c>
      <c r="O63" s="47">
        <v>52004.402175602125</v>
      </c>
      <c r="P63" s="47">
        <v>48253.455639033673</v>
      </c>
      <c r="Q63" s="47">
        <v>29978.495187612963</v>
      </c>
      <c r="R63" s="47">
        <v>16021.484818986171</v>
      </c>
      <c r="S63" s="47">
        <v>38658.01101060275</v>
      </c>
    </row>
    <row r="64" spans="1:19">
      <c r="A64" s="46" t="s">
        <v>458</v>
      </c>
      <c r="C64" s="47">
        <v>193889.07764729412</v>
      </c>
      <c r="D64" s="47">
        <v>315018.3977552625</v>
      </c>
      <c r="E64" s="47">
        <v>2714.4470870621176</v>
      </c>
      <c r="F64" s="47">
        <v>4410.2575685736747</v>
      </c>
      <c r="H64" s="47">
        <v>5933.5687924731392</v>
      </c>
      <c r="I64" s="47">
        <v>11577.985033644183</v>
      </c>
      <c r="J64" s="47">
        <v>13182.187544292796</v>
      </c>
      <c r="K64" s="47">
        <v>13360.432267698197</v>
      </c>
      <c r="L64" s="47">
        <v>13324.783323017118</v>
      </c>
      <c r="M64" s="47">
        <v>13039.591765568477</v>
      </c>
      <c r="N64" s="47">
        <v>12588.038466274793</v>
      </c>
      <c r="O64" s="47">
        <v>11031.36788186762</v>
      </c>
      <c r="P64" s="47">
        <v>8939.9631272442421</v>
      </c>
      <c r="Q64" s="47">
        <v>6408.8880548875441</v>
      </c>
      <c r="R64" s="47">
        <v>4745.2706364371306</v>
      </c>
      <c r="S64" s="47">
        <v>10662.995453496456</v>
      </c>
    </row>
    <row r="65" spans="1:19">
      <c r="A65" s="46" t="s">
        <v>365</v>
      </c>
      <c r="C65" s="47">
        <v>179477.97585107168</v>
      </c>
      <c r="D65" s="47">
        <v>296236.43621513917</v>
      </c>
      <c r="E65" s="47">
        <v>2512.6916619150034</v>
      </c>
      <c r="F65" s="47">
        <v>4147.3101070119483</v>
      </c>
      <c r="H65" s="47">
        <v>5274.7828446835301</v>
      </c>
      <c r="I65" s="47">
        <v>8234.5461471966846</v>
      </c>
      <c r="J65" s="47">
        <v>11622.696243494638</v>
      </c>
      <c r="K65" s="47">
        <v>14141.091334229513</v>
      </c>
      <c r="L65" s="47">
        <v>14699.292307949101</v>
      </c>
      <c r="M65" s="47">
        <v>14504.571038046919</v>
      </c>
      <c r="N65" s="47">
        <v>14154.072752222994</v>
      </c>
      <c r="O65" s="47">
        <v>13219.410656692524</v>
      </c>
      <c r="P65" s="47">
        <v>11038.532433788094</v>
      </c>
      <c r="Q65" s="47">
        <v>8130.6948032488544</v>
      </c>
      <c r="R65" s="47">
        <v>7170.0698717314281</v>
      </c>
      <c r="S65" s="47">
        <v>10649.089893983732</v>
      </c>
    </row>
    <row r="66" spans="1:19">
      <c r="A66" s="46" t="s">
        <v>459</v>
      </c>
      <c r="C66" s="47">
        <v>13643.245883727162</v>
      </c>
      <c r="D66" s="47">
        <v>22298.41201878609</v>
      </c>
      <c r="E66" s="47">
        <v>191.00544237218028</v>
      </c>
      <c r="F66" s="47">
        <v>312.17776826300525</v>
      </c>
      <c r="H66" s="47">
        <v>545.31964616244511</v>
      </c>
      <c r="I66" s="47">
        <v>741.43096675952575</v>
      </c>
      <c r="J66" s="47">
        <v>867.07804662259036</v>
      </c>
      <c r="K66" s="47">
        <v>919.71398548414447</v>
      </c>
      <c r="L66" s="47">
        <v>950.27678869407907</v>
      </c>
      <c r="M66" s="47">
        <v>991.0271929739921</v>
      </c>
      <c r="N66" s="47">
        <v>991.87615972982348</v>
      </c>
      <c r="O66" s="47">
        <v>965.5581902990466</v>
      </c>
      <c r="P66" s="47">
        <v>915.46915170498687</v>
      </c>
      <c r="Q66" s="47">
        <v>788.12413833025914</v>
      </c>
      <c r="R66" s="47">
        <v>606.44525258231431</v>
      </c>
      <c r="S66" s="47">
        <v>800.00967291190045</v>
      </c>
    </row>
    <row r="67" spans="1:19">
      <c r="A67" s="46" t="s">
        <v>460</v>
      </c>
      <c r="C67" s="47">
        <v>81159.791095426088</v>
      </c>
      <c r="D67" s="47">
        <v>134149.00213923721</v>
      </c>
      <c r="E67" s="47">
        <v>1136.2370753359653</v>
      </c>
      <c r="F67" s="47">
        <v>1878.0860299493211</v>
      </c>
      <c r="H67" s="47">
        <v>2394.3415991886504</v>
      </c>
      <c r="I67" s="47">
        <v>4644.8592661393486</v>
      </c>
      <c r="J67" s="47">
        <v>5257.7453410169901</v>
      </c>
      <c r="K67" s="47">
        <v>5296.9700498091588</v>
      </c>
      <c r="L67" s="47">
        <v>5448.9657963788131</v>
      </c>
      <c r="M67" s="47">
        <v>5561.7368341562988</v>
      </c>
      <c r="N67" s="47">
        <v>5561.7368341562988</v>
      </c>
      <c r="O67" s="47">
        <v>5571.5430113543416</v>
      </c>
      <c r="P67" s="47">
        <v>5243.0360752199258</v>
      </c>
      <c r="Q67" s="47">
        <v>4899.8198732884466</v>
      </c>
      <c r="R67" s="47">
        <v>3531.8581541615522</v>
      </c>
      <c r="S67" s="47">
        <v>4718.4055951246646</v>
      </c>
    </row>
    <row r="68" spans="1:19">
      <c r="A68" s="46" t="s">
        <v>461</v>
      </c>
      <c r="C68" s="47">
        <v>941414.38799337659</v>
      </c>
      <c r="D68" s="47">
        <v>1554345.4341949257</v>
      </c>
      <c r="E68" s="47">
        <v>13179.801431907272</v>
      </c>
      <c r="F68" s="47">
        <v>21760.83607872896</v>
      </c>
      <c r="H68" s="47">
        <v>31496.036370944566</v>
      </c>
      <c r="I68" s="47">
        <v>52049.943949871435</v>
      </c>
      <c r="J68" s="47">
        <v>58585.288349967115</v>
      </c>
      <c r="K68" s="47">
        <v>59982.155855331082</v>
      </c>
      <c r="L68" s="47">
        <v>60680.589608013062</v>
      </c>
      <c r="M68" s="47">
        <v>61428.911485886609</v>
      </c>
      <c r="N68" s="47">
        <v>61578.575861461315</v>
      </c>
      <c r="O68" s="47">
        <v>60830.253983587769</v>
      </c>
      <c r="P68" s="47">
        <v>58435.623974392409</v>
      </c>
      <c r="Q68" s="47">
        <v>48408.110810886821</v>
      </c>
      <c r="R68" s="47">
        <v>20520.648828799152</v>
      </c>
      <c r="S68" s="47">
        <v>47510.124557438561</v>
      </c>
    </row>
    <row r="69" spans="1:19">
      <c r="A69" s="46" t="s">
        <v>462</v>
      </c>
      <c r="C69" s="47">
        <v>43377.106712377383</v>
      </c>
      <c r="D69" s="47">
        <v>71069.861431798083</v>
      </c>
      <c r="E69" s="47">
        <v>607.27949397328337</v>
      </c>
      <c r="F69" s="47">
        <v>994.97806004517315</v>
      </c>
      <c r="H69" s="47">
        <v>1709.2621640437044</v>
      </c>
      <c r="I69" s="47">
        <v>2306.7221212395298</v>
      </c>
      <c r="J69" s="47">
        <v>2780.7399385188628</v>
      </c>
      <c r="K69" s="47">
        <v>2963.4343055952722</v>
      </c>
      <c r="L69" s="47">
        <v>3059.7191747301363</v>
      </c>
      <c r="M69" s="47">
        <v>3116.5025590917235</v>
      </c>
      <c r="N69" s="47">
        <v>3069.5945459234558</v>
      </c>
      <c r="O69" s="47">
        <v>3037.4995895451675</v>
      </c>
      <c r="P69" s="47">
        <v>3002.93579036855</v>
      </c>
      <c r="Q69" s="47">
        <v>2674.5796981906783</v>
      </c>
      <c r="R69" s="47">
        <v>2091.9327977848325</v>
      </c>
      <c r="S69" s="47">
        <v>2583.232514652474</v>
      </c>
    </row>
    <row r="70" spans="1:19">
      <c r="A70" s="46" t="s">
        <v>463</v>
      </c>
      <c r="C70" s="47">
        <v>404011.37530367757</v>
      </c>
      <c r="D70" s="47">
        <v>673011.34740527067</v>
      </c>
      <c r="E70" s="47">
        <v>5656.1592542514863</v>
      </c>
      <c r="F70" s="47">
        <v>9422.1588636737888</v>
      </c>
      <c r="H70" s="47">
        <v>9159.5502383309922</v>
      </c>
      <c r="I70" s="47">
        <v>18262.609858452015</v>
      </c>
      <c r="J70" s="47">
        <v>28358.290341405384</v>
      </c>
      <c r="K70" s="47">
        <v>29350.911204237731</v>
      </c>
      <c r="L70" s="47">
        <v>29447.75226402625</v>
      </c>
      <c r="M70" s="47">
        <v>29302.490674343466</v>
      </c>
      <c r="N70" s="47">
        <v>28939.336700136515</v>
      </c>
      <c r="O70" s="47">
        <v>27244.618153837386</v>
      </c>
      <c r="P70" s="47">
        <v>23177.293642719484</v>
      </c>
      <c r="Q70" s="47">
        <v>17245.778730672537</v>
      </c>
      <c r="R70" s="47">
        <v>9062.7091785424709</v>
      </c>
      <c r="S70" s="47">
        <v>20659.426088217922</v>
      </c>
    </row>
    <row r="71" spans="1:19">
      <c r="A71" s="46" t="s">
        <v>464</v>
      </c>
      <c r="C71" s="47">
        <v>786078.42465368309</v>
      </c>
      <c r="D71" s="47">
        <v>1270197.0040167612</v>
      </c>
      <c r="E71" s="47">
        <v>11005.097945151563</v>
      </c>
      <c r="F71" s="47">
        <v>17782.758056234656</v>
      </c>
      <c r="H71" s="47">
        <v>33648.882513634919</v>
      </c>
      <c r="I71" s="47">
        <v>48725.054106828524</v>
      </c>
      <c r="J71" s="47">
        <v>49404.543530747113</v>
      </c>
      <c r="K71" s="47">
        <v>49192.203085772548</v>
      </c>
      <c r="L71" s="47">
        <v>49574.415886726754</v>
      </c>
      <c r="M71" s="47">
        <v>49659.352064716571</v>
      </c>
      <c r="N71" s="47">
        <v>48470.24557285905</v>
      </c>
      <c r="O71" s="47">
        <v>45879.69214416945</v>
      </c>
      <c r="P71" s="47">
        <v>41547.947066688474</v>
      </c>
      <c r="Q71" s="47">
        <v>35772.286963380502</v>
      </c>
      <c r="R71" s="47">
        <v>24093.562489779819</v>
      </c>
      <c r="S71" s="47">
        <v>45030.330364271227</v>
      </c>
    </row>
    <row r="72" spans="1:19">
      <c r="A72" s="46" t="s">
        <v>465</v>
      </c>
      <c r="C72" s="47">
        <v>78567.090071869374</v>
      </c>
      <c r="D72" s="47">
        <v>126853.91847019941</v>
      </c>
      <c r="E72" s="47">
        <v>1099.9392610061714</v>
      </c>
      <c r="F72" s="47">
        <v>1775.9548585827918</v>
      </c>
      <c r="H72" s="47">
        <v>3624.4891371620083</v>
      </c>
      <c r="I72" s="47">
        <v>4768.5500068956999</v>
      </c>
      <c r="J72" s="47">
        <v>4949.4485204860703</v>
      </c>
      <c r="K72" s="47">
        <v>5042.3423517892325</v>
      </c>
      <c r="L72" s="47">
        <v>5101.012139980704</v>
      </c>
      <c r="M72" s="47">
        <v>5101.012139980704</v>
      </c>
      <c r="N72" s="47">
        <v>4934.7810734382019</v>
      </c>
      <c r="O72" s="47">
        <v>4778.3283049276124</v>
      </c>
      <c r="P72" s="47">
        <v>4616.9863874010653</v>
      </c>
      <c r="Q72" s="47">
        <v>4206.2978700607655</v>
      </c>
      <c r="R72" s="47">
        <v>3350.6967922684753</v>
      </c>
      <c r="S72" s="47">
        <v>4524.0925560979031</v>
      </c>
    </row>
    <row r="73" spans="1:19">
      <c r="A73" s="46" t="s">
        <v>466</v>
      </c>
      <c r="C73" s="47">
        <v>25458.375325665085</v>
      </c>
      <c r="D73" s="47">
        <v>41942.814705615216</v>
      </c>
      <c r="E73" s="47">
        <v>356.41725455931117</v>
      </c>
      <c r="F73" s="47">
        <v>587.19940587861299</v>
      </c>
      <c r="H73" s="47">
        <v>912.74130067909084</v>
      </c>
      <c r="I73" s="47">
        <v>1328.5117526941149</v>
      </c>
      <c r="J73" s="47">
        <v>1627.0605794714229</v>
      </c>
      <c r="K73" s="47">
        <v>1879.819708890248</v>
      </c>
      <c r="L73" s="47">
        <v>1883.4828846789267</v>
      </c>
      <c r="M73" s="47">
        <v>1876.1565331015693</v>
      </c>
      <c r="N73" s="47">
        <v>1958.5779883468385</v>
      </c>
      <c r="O73" s="47">
        <v>1910.9567030940163</v>
      </c>
      <c r="P73" s="47">
        <v>1839.5247752147829</v>
      </c>
      <c r="Q73" s="47">
        <v>1714.9767983997099</v>
      </c>
      <c r="R73" s="47">
        <v>1308.3642858563824</v>
      </c>
      <c r="S73" s="47">
        <v>1579.4392942186007</v>
      </c>
    </row>
    <row r="74" spans="1:19">
      <c r="A74" s="46" t="s">
        <v>467</v>
      </c>
      <c r="C74" s="47">
        <v>16853.621537144616</v>
      </c>
      <c r="D74" s="47">
        <v>27504.113359895611</v>
      </c>
      <c r="E74" s="47">
        <v>235.95070152002464</v>
      </c>
      <c r="F74" s="47">
        <v>385.05758703853854</v>
      </c>
      <c r="H74" s="47">
        <v>706.91333701220219</v>
      </c>
      <c r="I74" s="47">
        <v>894.00327771186994</v>
      </c>
      <c r="J74" s="47">
        <v>1067.1486265581461</v>
      </c>
      <c r="K74" s="47">
        <v>1188.0017559542048</v>
      </c>
      <c r="L74" s="47">
        <v>1242.6180740466546</v>
      </c>
      <c r="M74" s="47">
        <v>1285.6138989279445</v>
      </c>
      <c r="N74" s="47">
        <v>1301.8825894235681</v>
      </c>
      <c r="O74" s="47">
        <v>1261.2108631845097</v>
      </c>
      <c r="P74" s="47">
        <v>1215.8909396609874</v>
      </c>
      <c r="Q74" s="47">
        <v>1104.3342048338566</v>
      </c>
      <c r="R74" s="47">
        <v>888.19303110629016</v>
      </c>
      <c r="S74" s="47">
        <v>1038.0973935302477</v>
      </c>
    </row>
    <row r="75" spans="1:19">
      <c r="A75" s="46" t="s">
        <v>468</v>
      </c>
      <c r="C75" s="47">
        <v>124069.44580591421</v>
      </c>
      <c r="D75" s="47">
        <v>198739.91834395411</v>
      </c>
      <c r="E75" s="47">
        <v>1736.9722412827989</v>
      </c>
      <c r="F75" s="47">
        <v>2782.3588568153577</v>
      </c>
      <c r="H75" s="47">
        <v>5372.9299336511331</v>
      </c>
      <c r="I75" s="47">
        <v>8101.3935441629201</v>
      </c>
      <c r="J75" s="47">
        <v>8370.7641553917911</v>
      </c>
      <c r="K75" s="47">
        <v>8492.4153991725725</v>
      </c>
      <c r="L75" s="47">
        <v>8448.9685263937226</v>
      </c>
      <c r="M75" s="47">
        <v>8388.142904503331</v>
      </c>
      <c r="N75" s="47">
        <v>8214.3554133879315</v>
      </c>
      <c r="O75" s="47">
        <v>7901.5379293802107</v>
      </c>
      <c r="P75" s="47">
        <v>7362.7967069224687</v>
      </c>
      <c r="Q75" s="47">
        <v>5902.9817815531042</v>
      </c>
      <c r="R75" s="47">
        <v>4225.9324922894893</v>
      </c>
      <c r="S75" s="47">
        <v>7249.8348376974582</v>
      </c>
    </row>
    <row r="76" spans="1:19">
      <c r="A76" s="46" t="s">
        <v>469</v>
      </c>
      <c r="C76" s="47">
        <v>42003.774180654305</v>
      </c>
      <c r="D76" s="47">
        <v>69130.887665343136</v>
      </c>
      <c r="E76" s="47">
        <v>588.05283852916034</v>
      </c>
      <c r="F76" s="47">
        <v>967.83242731480391</v>
      </c>
      <c r="H76" s="47">
        <v>1403.1623369973158</v>
      </c>
      <c r="I76" s="47">
        <v>2221.817172877345</v>
      </c>
      <c r="J76" s="47">
        <v>2795.1338087302361</v>
      </c>
      <c r="K76" s="47">
        <v>3017.2294424390134</v>
      </c>
      <c r="L76" s="47">
        <v>3097.2871708689217</v>
      </c>
      <c r="M76" s="47">
        <v>3123.112244555989</v>
      </c>
      <c r="N76" s="47">
        <v>3112.7822150811621</v>
      </c>
      <c r="O76" s="47">
        <v>3045.6370234947876</v>
      </c>
      <c r="P76" s="47">
        <v>2926.8416845342786</v>
      </c>
      <c r="Q76" s="47">
        <v>2720.2410950377407</v>
      </c>
      <c r="R76" s="47">
        <v>2387.0976444745747</v>
      </c>
      <c r="S76" s="47">
        <v>1883.5087075767651</v>
      </c>
    </row>
    <row r="77" spans="1:19">
      <c r="A77" s="46" t="s">
        <v>470</v>
      </c>
      <c r="C77" s="47">
        <v>48374.04469943657</v>
      </c>
      <c r="D77" s="47">
        <v>78367.019588791663</v>
      </c>
      <c r="E77" s="47">
        <v>677.23662579211202</v>
      </c>
      <c r="F77" s="47">
        <v>1097.1382742430833</v>
      </c>
      <c r="H77" s="47">
        <v>2176.4938956548453</v>
      </c>
      <c r="I77" s="47">
        <v>2819.654832700603</v>
      </c>
      <c r="J77" s="47">
        <v>2993.028650512937</v>
      </c>
      <c r="K77" s="47">
        <v>3093.697318920099</v>
      </c>
      <c r="L77" s="47">
        <v>3096.4936708202981</v>
      </c>
      <c r="M77" s="47">
        <v>3085.3082632195024</v>
      </c>
      <c r="N77" s="47">
        <v>3090.9009670199002</v>
      </c>
      <c r="O77" s="47">
        <v>2981.8432429121412</v>
      </c>
      <c r="P77" s="47">
        <v>2788.8949617984144</v>
      </c>
      <c r="Q77" s="47">
        <v>2587.5576249840906</v>
      </c>
      <c r="R77" s="47">
        <v>2056.2507639462906</v>
      </c>
      <c r="S77" s="47">
        <v>2738.560627594833</v>
      </c>
    </row>
    <row r="78" spans="1:19">
      <c r="A78" s="46" t="s">
        <v>471</v>
      </c>
      <c r="C78" s="47">
        <v>760595.26493964507</v>
      </c>
      <c r="D78" s="47">
        <v>1255320.6905885506</v>
      </c>
      <c r="E78" s="47">
        <v>10648.333709155031</v>
      </c>
      <c r="F78" s="47">
        <v>17574.489668239708</v>
      </c>
      <c r="H78" s="47">
        <v>19791.952998728251</v>
      </c>
      <c r="I78" s="47">
        <v>41110.881599732274</v>
      </c>
      <c r="J78" s="47">
        <v>53928.667184220234</v>
      </c>
      <c r="K78" s="47">
        <v>52871.530228798547</v>
      </c>
      <c r="L78" s="47">
        <v>52034.630139089713</v>
      </c>
      <c r="M78" s="47">
        <v>51153.682676238299</v>
      </c>
      <c r="N78" s="47">
        <v>50272.735213386899</v>
      </c>
      <c r="O78" s="47">
        <v>48995.361392252365</v>
      </c>
      <c r="P78" s="47">
        <v>44634.671451137903</v>
      </c>
      <c r="Q78" s="47">
        <v>35560.912583768419</v>
      </c>
      <c r="R78" s="47">
        <v>20144.331983868815</v>
      </c>
      <c r="S78" s="47">
        <v>41375.165838587694</v>
      </c>
    </row>
    <row r="79" spans="1:19">
      <c r="A79" s="46" t="s">
        <v>472</v>
      </c>
      <c r="C79" s="47">
        <v>151046.58281141581</v>
      </c>
      <c r="D79" s="47">
        <v>251114.55304203363</v>
      </c>
      <c r="E79" s="47">
        <v>2114.6521593598213</v>
      </c>
      <c r="F79" s="47">
        <v>3515.6037425884711</v>
      </c>
      <c r="H79" s="47">
        <v>3665.8723491512815</v>
      </c>
      <c r="I79" s="47">
        <v>7673.0297645156843</v>
      </c>
      <c r="J79" s="47">
        <v>10144.404381921042</v>
      </c>
      <c r="K79" s="47">
        <v>10276.799450710616</v>
      </c>
      <c r="L79" s="47">
        <v>10523.936912451152</v>
      </c>
      <c r="M79" s="47">
        <v>10929.948456739176</v>
      </c>
      <c r="N79" s="47">
        <v>10982.906484255003</v>
      </c>
      <c r="O79" s="47">
        <v>10709.290008756552</v>
      </c>
      <c r="P79" s="47">
        <v>9658.9557963592742</v>
      </c>
      <c r="Q79" s="47">
        <v>6702.1325933921507</v>
      </c>
      <c r="R79" s="47">
        <v>3312.8188323790873</v>
      </c>
      <c r="S79" s="47">
        <v>7981.9515916913542</v>
      </c>
    </row>
    <row r="80" spans="1:19">
      <c r="A80" s="46" t="s">
        <v>473</v>
      </c>
      <c r="C80" s="47">
        <v>646000.67312431976</v>
      </c>
      <c r="D80" s="47">
        <v>1050210.7210658828</v>
      </c>
      <c r="E80" s="47">
        <v>9044.0094237404774</v>
      </c>
      <c r="F80" s="47">
        <v>14702.95009492236</v>
      </c>
      <c r="H80" s="47">
        <v>31588.664865487252</v>
      </c>
      <c r="I80" s="47">
        <v>36314.689207409247</v>
      </c>
      <c r="J80" s="47">
        <v>38002.55504380996</v>
      </c>
      <c r="K80" s="47">
        <v>38278.751271584624</v>
      </c>
      <c r="L80" s="47">
        <v>38769.766787628469</v>
      </c>
      <c r="M80" s="47">
        <v>38094.620453068179</v>
      </c>
      <c r="N80" s="47">
        <v>38401.505150595585</v>
      </c>
      <c r="O80" s="47">
        <v>37388.785648755154</v>
      </c>
      <c r="P80" s="47">
        <v>36161.246858645543</v>
      </c>
      <c r="Q80" s="47">
        <v>34933.70806853594</v>
      </c>
      <c r="R80" s="47">
        <v>21062.519740297364</v>
      </c>
      <c r="S80" s="47">
        <v>35148.52735680512</v>
      </c>
    </row>
    <row r="81" spans="1:19">
      <c r="A81" s="46" t="s">
        <v>474</v>
      </c>
      <c r="C81" s="47">
        <v>24871.842873575122</v>
      </c>
      <c r="D81" s="47">
        <v>40952.652878820263</v>
      </c>
      <c r="E81" s="47">
        <v>348.20580023005169</v>
      </c>
      <c r="F81" s="47">
        <v>573.33714030348369</v>
      </c>
      <c r="H81" s="47">
        <v>831.16871173742493</v>
      </c>
      <c r="I81" s="47">
        <v>1339.1381531495035</v>
      </c>
      <c r="J81" s="47">
        <v>1601.1434439831023</v>
      </c>
      <c r="K81" s="47">
        <v>1686.6961920103995</v>
      </c>
      <c r="L81" s="47">
        <v>1734.8196127757544</v>
      </c>
      <c r="M81" s="47">
        <v>1757.9901486998142</v>
      </c>
      <c r="N81" s="47">
        <v>1761.5548465342849</v>
      </c>
      <c r="O81" s="47">
        <v>1708.0843790172239</v>
      </c>
      <c r="P81" s="47">
        <v>1615.4022353209848</v>
      </c>
      <c r="Q81" s="47">
        <v>1296.3617791358549</v>
      </c>
      <c r="R81" s="47">
        <v>952.36843810942958</v>
      </c>
      <c r="S81" s="47">
        <v>1451.4261349353314</v>
      </c>
    </row>
    <row r="82" spans="1:19">
      <c r="A82" s="46" t="s">
        <v>475</v>
      </c>
      <c r="C82" s="47">
        <v>30527.504078766859</v>
      </c>
      <c r="D82" s="47">
        <v>50048.955964311463</v>
      </c>
      <c r="E82" s="47">
        <v>427.38505710273603</v>
      </c>
      <c r="F82" s="47">
        <v>700.68538350036044</v>
      </c>
      <c r="H82" s="47">
        <v>1087.8272880616789</v>
      </c>
      <c r="I82" s="47">
        <v>1802.6007615761189</v>
      </c>
      <c r="J82" s="47">
        <v>1932.0758572747645</v>
      </c>
      <c r="K82" s="47">
        <v>1964.0012233374441</v>
      </c>
      <c r="L82" s="47">
        <v>2004.7947466397572</v>
      </c>
      <c r="M82" s="47">
        <v>2033.1728498065836</v>
      </c>
      <c r="N82" s="47">
        <v>2043.8146384941435</v>
      </c>
      <c r="O82" s="47">
        <v>2008.3420095356105</v>
      </c>
      <c r="P82" s="47">
        <v>1917.8868056913514</v>
      </c>
      <c r="Q82" s="47">
        <v>1726.3346093152732</v>
      </c>
      <c r="R82" s="47">
        <v>1371.6083197299431</v>
      </c>
      <c r="S82" s="47">
        <v>1800.8271301281925</v>
      </c>
    </row>
    <row r="83" spans="1:19">
      <c r="A83" s="46" t="s">
        <v>476</v>
      </c>
      <c r="C83" s="47">
        <v>37221.038093567797</v>
      </c>
      <c r="D83" s="47">
        <v>60719.034762717798</v>
      </c>
      <c r="E83" s="47">
        <v>521.09453330994916</v>
      </c>
      <c r="F83" s="47">
        <v>850.06648667804916</v>
      </c>
      <c r="H83" s="47">
        <v>1253.2546312375703</v>
      </c>
      <c r="I83" s="47">
        <v>2111.4312225905833</v>
      </c>
      <c r="J83" s="47">
        <v>2525.1450190734686</v>
      </c>
      <c r="K83" s="47">
        <v>2516.7589286042212</v>
      </c>
      <c r="L83" s="47">
        <v>2564.2801079299575</v>
      </c>
      <c r="M83" s="47">
        <v>2536.3264730324659</v>
      </c>
      <c r="N83" s="47">
        <v>2452.4655683399887</v>
      </c>
      <c r="O83" s="47">
        <v>2158.95240191632</v>
      </c>
      <c r="P83" s="47">
        <v>1907.3696878388894</v>
      </c>
      <c r="Q83" s="47">
        <v>1594.288976986976</v>
      </c>
      <c r="R83" s="47">
        <v>1242.0731772785734</v>
      </c>
      <c r="S83" s="47">
        <v>2153.3616749368216</v>
      </c>
    </row>
    <row r="84" spans="1:19">
      <c r="A84" s="46" t="s">
        <v>477</v>
      </c>
      <c r="C84" s="47">
        <v>79634.685552362687</v>
      </c>
      <c r="D84" s="47">
        <v>129138.29244281392</v>
      </c>
      <c r="E84" s="47">
        <v>1114.8855977330777</v>
      </c>
      <c r="F84" s="47">
        <v>1807.936094199395</v>
      </c>
      <c r="H84" s="47">
        <v>3301.6942047070124</v>
      </c>
      <c r="I84" s="47">
        <v>4464.1488880268407</v>
      </c>
      <c r="J84" s="47">
        <v>5196.7375165773583</v>
      </c>
      <c r="K84" s="47">
        <v>5233.0642254311033</v>
      </c>
      <c r="L84" s="47">
        <v>5293.6087401873438</v>
      </c>
      <c r="M84" s="47">
        <v>5402.5888667485779</v>
      </c>
      <c r="N84" s="47">
        <v>5081.7029385404994</v>
      </c>
      <c r="O84" s="47">
        <v>4766.8714618080467</v>
      </c>
      <c r="P84" s="47">
        <v>4367.2776644168553</v>
      </c>
      <c r="Q84" s="47">
        <v>3677.070196195707</v>
      </c>
      <c r="R84" s="47">
        <v>2635.704542388361</v>
      </c>
      <c r="S84" s="47">
        <v>4500.4755968805857</v>
      </c>
    </row>
    <row r="85" spans="1:19">
      <c r="A85" s="46" t="s">
        <v>478</v>
      </c>
      <c r="C85" s="47">
        <v>749762.59611662931</v>
      </c>
      <c r="D85" s="47">
        <v>1233714.384159785</v>
      </c>
      <c r="E85" s="47">
        <v>10496.67634563281</v>
      </c>
      <c r="F85" s="47">
        <v>17272.00137823699</v>
      </c>
      <c r="H85" s="47">
        <v>23535.010403661603</v>
      </c>
      <c r="I85" s="47">
        <v>43348.90772716434</v>
      </c>
      <c r="J85" s="47">
        <v>48621.628844437422</v>
      </c>
      <c r="K85" s="47">
        <v>48662.82197816611</v>
      </c>
      <c r="L85" s="47">
        <v>48704.015111894805</v>
      </c>
      <c r="M85" s="47">
        <v>48498.04944325133</v>
      </c>
      <c r="N85" s="47">
        <v>47797.766169863498</v>
      </c>
      <c r="O85" s="47">
        <v>46397.199623087836</v>
      </c>
      <c r="P85" s="47">
        <v>43348.90772716434</v>
      </c>
      <c r="Q85" s="47">
        <v>36510.847528200815</v>
      </c>
      <c r="R85" s="47">
        <v>18715.413757404178</v>
      </c>
      <c r="S85" s="47">
        <v>39394.366889209523</v>
      </c>
    </row>
    <row r="86" spans="1:19">
      <c r="A86" s="46" t="s">
        <v>479</v>
      </c>
      <c r="C86" s="47">
        <v>519433.61000103521</v>
      </c>
      <c r="D86" s="47">
        <v>858194.14024595055</v>
      </c>
      <c r="E86" s="47">
        <v>7272.0705400144934</v>
      </c>
      <c r="F86" s="47">
        <v>12014.717963443309</v>
      </c>
      <c r="H86" s="47">
        <v>17278.436160328951</v>
      </c>
      <c r="I86" s="47">
        <v>28895.71069323735</v>
      </c>
      <c r="J86" s="47">
        <v>31750.077900340151</v>
      </c>
      <c r="K86" s="47">
        <v>33348.523536317713</v>
      </c>
      <c r="L86" s="47">
        <v>33947.940649809309</v>
      </c>
      <c r="M86" s="47">
        <v>33862.309633596225</v>
      </c>
      <c r="N86" s="47">
        <v>33719.59127324108</v>
      </c>
      <c r="O86" s="47">
        <v>32606.388062470993</v>
      </c>
      <c r="P86" s="47">
        <v>30979.398754422393</v>
      </c>
      <c r="Q86" s="47">
        <v>27839.594826609315</v>
      </c>
      <c r="R86" s="47">
        <v>15822.708884706524</v>
      </c>
      <c r="S86" s="47">
        <v>27639.789122112117</v>
      </c>
    </row>
    <row r="87" spans="1:19">
      <c r="A87" s="46" t="s">
        <v>480</v>
      </c>
      <c r="C87" s="47">
        <v>431484.96238357638</v>
      </c>
      <c r="D87" s="47">
        <v>721742.45509473875</v>
      </c>
      <c r="E87" s="47">
        <v>6040.7894733700696</v>
      </c>
      <c r="F87" s="47">
        <v>10104.394371326343</v>
      </c>
      <c r="H87" s="47">
        <v>10831.116625699226</v>
      </c>
      <c r="I87" s="47">
        <v>20771.516423627134</v>
      </c>
      <c r="J87" s="47">
        <v>27157.95607874748</v>
      </c>
      <c r="K87" s="47">
        <v>29830.106562061439</v>
      </c>
      <c r="L87" s="47">
        <v>30391.25816355737</v>
      </c>
      <c r="M87" s="47">
        <v>30631.75170705562</v>
      </c>
      <c r="N87" s="47">
        <v>30444.701173223646</v>
      </c>
      <c r="O87" s="47">
        <v>29616.334523396319</v>
      </c>
      <c r="P87" s="47">
        <v>27425.171127078876</v>
      </c>
      <c r="Q87" s="47">
        <v>20557.744384962018</v>
      </c>
      <c r="R87" s="47">
        <v>10269.965024203295</v>
      </c>
      <c r="S87" s="47">
        <v>22241.19918944981</v>
      </c>
    </row>
    <row r="88" spans="1:19">
      <c r="A88" s="46" t="s">
        <v>481</v>
      </c>
      <c r="C88" s="47">
        <v>60092.62341841044</v>
      </c>
      <c r="D88" s="47">
        <v>99750.25635760212</v>
      </c>
      <c r="E88" s="47">
        <v>841.29672785774619</v>
      </c>
      <c r="F88" s="47">
        <v>1396.5035890064298</v>
      </c>
      <c r="H88" s="47">
        <v>1558.0783514760201</v>
      </c>
      <c r="I88" s="47">
        <v>3333.9401453888368</v>
      </c>
      <c r="J88" s="47">
        <v>3956.0130634130919</v>
      </c>
      <c r="K88" s="47">
        <v>4108.9248421453112</v>
      </c>
      <c r="L88" s="47">
        <v>4122.825912939149</v>
      </c>
      <c r="M88" s="47">
        <v>4136.7269837329877</v>
      </c>
      <c r="N88" s="47">
        <v>4164.5291253206633</v>
      </c>
      <c r="O88" s="47">
        <v>4018.5678819853633</v>
      </c>
      <c r="P88" s="47">
        <v>3921.2603864284965</v>
      </c>
      <c r="Q88" s="47">
        <v>3455.5745148349201</v>
      </c>
      <c r="R88" s="47">
        <v>2201.0028756910319</v>
      </c>
      <c r="S88" s="47">
        <v>3393.0196962626487</v>
      </c>
    </row>
    <row r="89" spans="1:19">
      <c r="A89" s="46" t="s">
        <v>482</v>
      </c>
      <c r="C89" s="47">
        <v>530459.61100374581</v>
      </c>
      <c r="D89" s="47">
        <v>879595.55548715626</v>
      </c>
      <c r="E89" s="47">
        <v>7426.4345540524419</v>
      </c>
      <c r="F89" s="47">
        <v>12314.337776820188</v>
      </c>
      <c r="H89" s="47">
        <v>15171.87325401891</v>
      </c>
      <c r="I89" s="47">
        <v>30474.780576857233</v>
      </c>
      <c r="J89" s="47">
        <v>34574.27501563594</v>
      </c>
      <c r="K89" s="47">
        <v>33675.755686588549</v>
      </c>
      <c r="L89" s="47">
        <v>33675.755686588549</v>
      </c>
      <c r="M89" s="47">
        <v>34153.094080144976</v>
      </c>
      <c r="N89" s="47">
        <v>34237.330267243167</v>
      </c>
      <c r="O89" s="47">
        <v>33984.621705948593</v>
      </c>
      <c r="P89" s="47">
        <v>32889.551273672085</v>
      </c>
      <c r="Q89" s="47">
        <v>29576.261247809842</v>
      </c>
      <c r="R89" s="47">
        <v>16463.494789524531</v>
      </c>
      <c r="S89" s="47">
        <v>26768.388344536761</v>
      </c>
    </row>
    <row r="90" spans="1:19">
      <c r="A90" s="46" t="s">
        <v>483</v>
      </c>
      <c r="C90" s="47">
        <v>58021.575621190161</v>
      </c>
      <c r="D90" s="47">
        <v>93590.461831505352</v>
      </c>
      <c r="E90" s="47">
        <v>812.30205869666224</v>
      </c>
      <c r="F90" s="47">
        <v>1310.266465641075</v>
      </c>
      <c r="H90" s="47">
        <v>1929.8286758895629</v>
      </c>
      <c r="I90" s="47">
        <v>3323.0205007296217</v>
      </c>
      <c r="J90" s="47">
        <v>4229.7008946731521</v>
      </c>
      <c r="K90" s="47">
        <v>4176.6269203935308</v>
      </c>
      <c r="L90" s="47">
        <v>4145.6671020637514</v>
      </c>
      <c r="M90" s="47">
        <v>3844.914581145898</v>
      </c>
      <c r="N90" s="47">
        <v>3429.1684492888644</v>
      </c>
      <c r="O90" s="47">
        <v>2898.4287064926511</v>
      </c>
      <c r="P90" s="47">
        <v>2438.4542627359333</v>
      </c>
      <c r="Q90" s="47">
        <v>1996.1711437390895</v>
      </c>
      <c r="R90" s="47">
        <v>1620.2304925917722</v>
      </c>
      <c r="S90" s="47">
        <v>3208.0268897904425</v>
      </c>
    </row>
    <row r="91" spans="1:19">
      <c r="A91" s="46" t="s">
        <v>484</v>
      </c>
      <c r="C91" s="47">
        <v>164494.19168901036</v>
      </c>
      <c r="D91" s="47">
        <v>270774.02101243899</v>
      </c>
      <c r="E91" s="47">
        <v>2302.9186836461449</v>
      </c>
      <c r="F91" s="47">
        <v>3790.8362941741457</v>
      </c>
      <c r="H91" s="47">
        <v>4040.7350288897164</v>
      </c>
      <c r="I91" s="47">
        <v>9275.7454951082473</v>
      </c>
      <c r="J91" s="47">
        <v>11392.02632187744</v>
      </c>
      <c r="K91" s="47">
        <v>11679.766258850445</v>
      </c>
      <c r="L91" s="47">
        <v>11707.612059202669</v>
      </c>
      <c r="M91" s="47">
        <v>11707.612059202669</v>
      </c>
      <c r="N91" s="47">
        <v>11689.048192301185</v>
      </c>
      <c r="O91" s="47">
        <v>11419.872122229666</v>
      </c>
      <c r="P91" s="47">
        <v>10046.145971519842</v>
      </c>
      <c r="Q91" s="47">
        <v>6175.5797225603928</v>
      </c>
      <c r="R91" s="47">
        <v>3502.3828887466761</v>
      </c>
      <c r="S91" s="47">
        <v>9563.4854320812519</v>
      </c>
    </row>
    <row r="92" spans="1:19">
      <c r="A92" s="46" t="s">
        <v>358</v>
      </c>
      <c r="C92" s="47">
        <v>35398.370124437286</v>
      </c>
      <c r="D92" s="47">
        <v>58242.158261332297</v>
      </c>
      <c r="E92" s="47">
        <v>495.57718174212204</v>
      </c>
      <c r="F92" s="47">
        <v>815.39021565865221</v>
      </c>
      <c r="H92" s="47">
        <v>1235.1491408680213</v>
      </c>
      <c r="I92" s="47">
        <v>1870.3686990287179</v>
      </c>
      <c r="J92" s="47">
        <v>2382.7791426116796</v>
      </c>
      <c r="K92" s="47">
        <v>2484.414271917391</v>
      </c>
      <c r="L92" s="47">
        <v>2511.9404527710217</v>
      </c>
      <c r="M92" s="47">
        <v>2575.462408587091</v>
      </c>
      <c r="N92" s="47">
        <v>2569.1102130054837</v>
      </c>
      <c r="O92" s="47">
        <v>2556.4058218422701</v>
      </c>
      <c r="P92" s="47">
        <v>2524.6448439342353</v>
      </c>
      <c r="Q92" s="47">
        <v>2420.8923161013213</v>
      </c>
      <c r="R92" s="47">
        <v>1991.0604150792503</v>
      </c>
      <c r="S92" s="47">
        <v>2141.3957105106147</v>
      </c>
    </row>
    <row r="93" spans="1:19">
      <c r="A93" s="46" t="s">
        <v>485</v>
      </c>
      <c r="C93" s="47">
        <v>454678.69467027485</v>
      </c>
      <c r="D93" s="47">
        <v>763631.51905419631</v>
      </c>
      <c r="E93" s="47">
        <v>6365.5017253838478</v>
      </c>
      <c r="F93" s="47">
        <v>10690.841266758749</v>
      </c>
      <c r="H93" s="47">
        <v>10886.337054360343</v>
      </c>
      <c r="I93" s="47">
        <v>21846.292617964034</v>
      </c>
      <c r="J93" s="47">
        <v>29935.126321077092</v>
      </c>
      <c r="K93" s="47">
        <v>31177.438664558616</v>
      </c>
      <c r="L93" s="47">
        <v>30735.727609098521</v>
      </c>
      <c r="M93" s="47">
        <v>31094.617841659852</v>
      </c>
      <c r="N93" s="47">
        <v>31563.935838086203</v>
      </c>
      <c r="O93" s="47">
        <v>31508.721956153691</v>
      </c>
      <c r="P93" s="47">
        <v>30183.588789773399</v>
      </c>
      <c r="Q93" s="47">
        <v>26760.328109957634</v>
      </c>
      <c r="R93" s="47">
        <v>18947.563816507143</v>
      </c>
      <c r="S93" s="47">
        <v>26760.328109957634</v>
      </c>
    </row>
    <row r="94" spans="1:19">
      <c r="A94" s="46" t="s">
        <v>486</v>
      </c>
      <c r="C94" s="47">
        <v>1017082.0011232704</v>
      </c>
      <c r="D94" s="47">
        <v>1675443.9510028551</v>
      </c>
      <c r="E94" s="47">
        <v>14239.148015725785</v>
      </c>
      <c r="F94" s="47">
        <v>23456.215314039971</v>
      </c>
      <c r="H94" s="47">
        <v>23982.136304774322</v>
      </c>
      <c r="I94" s="47">
        <v>57225.502312404162</v>
      </c>
      <c r="J94" s="47">
        <v>71117.34686668744</v>
      </c>
      <c r="K94" s="47">
        <v>72269.945323156353</v>
      </c>
      <c r="L94" s="47">
        <v>72209.282246500094</v>
      </c>
      <c r="M94" s="47">
        <v>70268.063793499809</v>
      </c>
      <c r="N94" s="47">
        <v>66810.268424093054</v>
      </c>
      <c r="O94" s="47">
        <v>60683.297681810924</v>
      </c>
      <c r="P94" s="47">
        <v>53949.696172966193</v>
      </c>
      <c r="Q94" s="47">
        <v>43394.320834777158</v>
      </c>
      <c r="R94" s="47">
        <v>30169.770123712726</v>
      </c>
      <c r="S94" s="47">
        <v>51947.814643309648</v>
      </c>
    </row>
    <row r="95" spans="1:19">
      <c r="A95" s="46" t="s">
        <v>487</v>
      </c>
      <c r="C95" s="47">
        <v>21607.606379049761</v>
      </c>
      <c r="D95" s="47">
        <v>35618.011161638147</v>
      </c>
      <c r="E95" s="47">
        <v>302.50648930669666</v>
      </c>
      <c r="F95" s="47">
        <v>498.65215626293406</v>
      </c>
      <c r="H95" s="47">
        <v>693.60136818545027</v>
      </c>
      <c r="I95" s="47">
        <v>1154.8173964855769</v>
      </c>
      <c r="J95" s="47">
        <v>1401.4213422529851</v>
      </c>
      <c r="K95" s="47">
        <v>1438.745182693458</v>
      </c>
      <c r="L95" s="47">
        <v>1478.7350117368214</v>
      </c>
      <c r="M95" s="47">
        <v>1522.7238236845214</v>
      </c>
      <c r="N95" s="47">
        <v>1485.3999832440486</v>
      </c>
      <c r="O95" s="47">
        <v>1465.4050687223671</v>
      </c>
      <c r="P95" s="47">
        <v>1330.7726442763765</v>
      </c>
      <c r="Q95" s="47">
        <v>1076.170732700295</v>
      </c>
      <c r="R95" s="47">
        <v>640.28159612763216</v>
      </c>
      <c r="S95" s="47">
        <v>1246.794003285313</v>
      </c>
    </row>
    <row r="96" spans="1:19">
      <c r="A96" s="46" t="s">
        <v>488</v>
      </c>
      <c r="C96" s="47">
        <v>43629.40496659201</v>
      </c>
      <c r="D96" s="47">
        <v>70374.012460955448</v>
      </c>
      <c r="E96" s="47">
        <v>610.81166953228819</v>
      </c>
      <c r="F96" s="47">
        <v>985.23617445337629</v>
      </c>
      <c r="H96" s="47">
        <v>2021.1127098872423</v>
      </c>
      <c r="I96" s="47">
        <v>2535.6434131635838</v>
      </c>
      <c r="J96" s="47">
        <v>2784.7845958026546</v>
      </c>
      <c r="K96" s="47">
        <v>2860.610173127589</v>
      </c>
      <c r="L96" s="47">
        <v>2863.3182294606222</v>
      </c>
      <c r="M96" s="47">
        <v>2836.2376661302887</v>
      </c>
      <c r="N96" s="47">
        <v>2754.995976139287</v>
      </c>
      <c r="O96" s="47">
        <v>2638.5495538188516</v>
      </c>
      <c r="P96" s="47">
        <v>2500.4386808341496</v>
      </c>
      <c r="Q96" s="47">
        <v>2170.0558082040779</v>
      </c>
      <c r="R96" s="47">
        <v>1536.3706262742683</v>
      </c>
      <c r="S96" s="47">
        <v>2522.1031314984166</v>
      </c>
    </row>
    <row r="97" spans="1:19">
      <c r="A97" s="46" t="s">
        <v>489</v>
      </c>
      <c r="C97" s="47">
        <v>312483.76264003845</v>
      </c>
      <c r="D97" s="47">
        <v>517372.51507630461</v>
      </c>
      <c r="E97" s="47">
        <v>4374.7726769605388</v>
      </c>
      <c r="F97" s="47">
        <v>7243.2152110682646</v>
      </c>
      <c r="H97" s="47">
        <v>7758.3358808366111</v>
      </c>
      <c r="I97" s="47">
        <v>17231.547832894728</v>
      </c>
      <c r="J97" s="47">
        <v>21489.171182134334</v>
      </c>
      <c r="K97" s="47">
        <v>21471.431084845837</v>
      </c>
      <c r="L97" s="47">
        <v>21879.453322481299</v>
      </c>
      <c r="M97" s="47">
        <v>21879.453322481299</v>
      </c>
      <c r="N97" s="47">
        <v>21719.792446884814</v>
      </c>
      <c r="O97" s="47">
        <v>21063.408847210376</v>
      </c>
      <c r="P97" s="47">
        <v>20477.985636689926</v>
      </c>
      <c r="Q97" s="47">
        <v>16823.525595259267</v>
      </c>
      <c r="R97" s="47">
        <v>7793.8160754136079</v>
      </c>
      <c r="S97" s="47">
        <v>16770.305303393772</v>
      </c>
    </row>
    <row r="98" spans="1:19">
      <c r="A98" s="46" t="s">
        <v>490</v>
      </c>
      <c r="C98" s="47">
        <v>195980.21977003495</v>
      </c>
      <c r="D98" s="47">
        <v>318655.89468845422</v>
      </c>
      <c r="E98" s="47">
        <v>2743.7230767804895</v>
      </c>
      <c r="F98" s="47">
        <v>4461.182525638359</v>
      </c>
      <c r="H98" s="47">
        <v>6862.7313979833871</v>
      </c>
      <c r="I98" s="47">
        <v>11598.016062591923</v>
      </c>
      <c r="J98" s="47">
        <v>13438.085918676219</v>
      </c>
      <c r="K98" s="47">
        <v>13283.674462221594</v>
      </c>
      <c r="L98" s="47">
        <v>12871.910578342591</v>
      </c>
      <c r="M98" s="47">
        <v>12408.676208978712</v>
      </c>
      <c r="N98" s="47">
        <v>11996.912325099707</v>
      </c>
      <c r="O98" s="47">
        <v>11121.914071856827</v>
      </c>
      <c r="P98" s="47">
        <v>10349.856789583695</v>
      </c>
      <c r="Q98" s="47">
        <v>9539.1966431969086</v>
      </c>
      <c r="R98" s="47">
        <v>6193.6150866800072</v>
      </c>
      <c r="S98" s="47">
        <v>10581.473974265635</v>
      </c>
    </row>
    <row r="99" spans="1:19">
      <c r="A99" s="46" t="s">
        <v>491</v>
      </c>
      <c r="C99" s="47">
        <v>16825.460051205933</v>
      </c>
      <c r="D99" s="47">
        <v>26577.425142012504</v>
      </c>
      <c r="E99" s="47">
        <v>235.55644071688306</v>
      </c>
      <c r="F99" s="47">
        <v>372.08395198817504</v>
      </c>
      <c r="H99" s="47">
        <v>710.50263163414593</v>
      </c>
      <c r="I99" s="47">
        <v>1094.6396733732381</v>
      </c>
      <c r="J99" s="47">
        <v>1354.6112066714118</v>
      </c>
      <c r="K99" s="47">
        <v>1424.4543051694286</v>
      </c>
      <c r="L99" s="47">
        <v>1450.3221194279533</v>
      </c>
      <c r="M99" s="47">
        <v>1432.214649446986</v>
      </c>
      <c r="N99" s="47">
        <v>1401.1732723367563</v>
      </c>
      <c r="O99" s="47">
        <v>1352.0244252455593</v>
      </c>
      <c r="P99" s="47">
        <v>1257.6069032019439</v>
      </c>
      <c r="Q99" s="47">
        <v>1081.7057662439759</v>
      </c>
      <c r="R99" s="47">
        <v>793.27963726142514</v>
      </c>
      <c r="S99" s="47">
        <v>1176.1232882875911</v>
      </c>
    </row>
    <row r="100" spans="1:19">
      <c r="A100" s="46" t="s">
        <v>492</v>
      </c>
      <c r="C100" s="47">
        <v>16041.210148253489</v>
      </c>
      <c r="D100" s="47">
        <v>26537.545427428264</v>
      </c>
      <c r="E100" s="47">
        <v>224.57694207554886</v>
      </c>
      <c r="F100" s="47">
        <v>371.5256359839957</v>
      </c>
      <c r="H100" s="47">
        <v>590.70761814461673</v>
      </c>
      <c r="I100" s="47">
        <v>789.50736024559228</v>
      </c>
      <c r="J100" s="47">
        <v>1002.9426661822226</v>
      </c>
      <c r="K100" s="47">
        <v>1098.0738311139778</v>
      </c>
      <c r="L100" s="47">
        <v>1182.2283231689919</v>
      </c>
      <c r="M100" s="47">
        <v>1216.3779721188528</v>
      </c>
      <c r="N100" s="47">
        <v>1217.5976024384909</v>
      </c>
      <c r="O100" s="47">
        <v>1168.8123896529753</v>
      </c>
      <c r="P100" s="47">
        <v>1120.0271768674597</v>
      </c>
      <c r="Q100" s="47">
        <v>1094.4149401550642</v>
      </c>
      <c r="R100" s="47">
        <v>927.32558636467365</v>
      </c>
      <c r="S100" s="47">
        <v>974.89116883055135</v>
      </c>
    </row>
    <row r="101" spans="1:19">
      <c r="A101" s="46" t="s">
        <v>493</v>
      </c>
      <c r="C101" s="47">
        <v>314657.22222341015</v>
      </c>
      <c r="D101" s="47">
        <v>518649.10053925338</v>
      </c>
      <c r="E101" s="47">
        <v>4405.2011111277425</v>
      </c>
      <c r="F101" s="47">
        <v>7261.0874075495476</v>
      </c>
      <c r="H101" s="47">
        <v>10770.761042291924</v>
      </c>
      <c r="I101" s="47">
        <v>17159.93679877551</v>
      </c>
      <c r="J101" s="47">
        <v>20159.872369024077</v>
      </c>
      <c r="K101" s="47">
        <v>21190.38458781175</v>
      </c>
      <c r="L101" s="47">
        <v>20984.282144054217</v>
      </c>
      <c r="M101" s="47">
        <v>20984.282144054217</v>
      </c>
      <c r="N101" s="47">
        <v>21236.18513086898</v>
      </c>
      <c r="O101" s="47">
        <v>20778.179700296678</v>
      </c>
      <c r="P101" s="47">
        <v>20091.171554438231</v>
      </c>
      <c r="Q101" s="47">
        <v>17755.343858519504</v>
      </c>
      <c r="R101" s="47">
        <v>13793.596884069104</v>
      </c>
      <c r="S101" s="47">
        <v>13037.88792362481</v>
      </c>
    </row>
    <row r="102" spans="1:19">
      <c r="A102" s="46" t="s">
        <v>494</v>
      </c>
      <c r="C102" s="47">
        <v>364728.19851586444</v>
      </c>
      <c r="D102" s="47">
        <v>605476.49383269646</v>
      </c>
      <c r="E102" s="47">
        <v>5106.1947792221026</v>
      </c>
      <c r="F102" s="47">
        <v>8476.6709136577501</v>
      </c>
      <c r="H102" s="47">
        <v>8775.0769124453764</v>
      </c>
      <c r="I102" s="47">
        <v>19494.086619847447</v>
      </c>
      <c r="J102" s="47">
        <v>24853.591473548484</v>
      </c>
      <c r="K102" s="47">
        <v>25674.971527755541</v>
      </c>
      <c r="L102" s="47">
        <v>25654.437026400359</v>
      </c>
      <c r="M102" s="47">
        <v>25613.368023690011</v>
      </c>
      <c r="N102" s="47">
        <v>25346.419506072714</v>
      </c>
      <c r="O102" s="47">
        <v>25079.470988455425</v>
      </c>
      <c r="P102" s="47">
        <v>23991.142416631075</v>
      </c>
      <c r="Q102" s="47">
        <v>19555.690123912977</v>
      </c>
      <c r="R102" s="47">
        <v>8857.2149178660802</v>
      </c>
      <c r="S102" s="47">
        <v>19596.759126623328</v>
      </c>
    </row>
    <row r="103" spans="1:19">
      <c r="A103" s="46" t="s">
        <v>495</v>
      </c>
      <c r="C103" s="47">
        <v>2107730.4130561301</v>
      </c>
      <c r="D103" s="47">
        <v>3473274.7387639363</v>
      </c>
      <c r="E103" s="47">
        <v>29508.225782785823</v>
      </c>
      <c r="F103" s="47">
        <v>48625.846342695113</v>
      </c>
      <c r="H103" s="47">
        <v>57191.24721156984</v>
      </c>
      <c r="I103" s="47">
        <v>102505.84517641646</v>
      </c>
      <c r="J103" s="47">
        <v>147820.44314126312</v>
      </c>
      <c r="K103" s="47">
        <v>149613.89688657364</v>
      </c>
      <c r="L103" s="47">
        <v>149374.76972053223</v>
      </c>
      <c r="M103" s="47">
        <v>148179.1338903252</v>
      </c>
      <c r="N103" s="47">
        <v>143157.46340345568</v>
      </c>
      <c r="O103" s="47">
        <v>135744.52125617204</v>
      </c>
      <c r="P103" s="47">
        <v>116853.4751389009</v>
      </c>
      <c r="Q103" s="47">
        <v>64962.880107915567</v>
      </c>
      <c r="R103" s="47">
        <v>42604.490083044009</v>
      </c>
      <c r="S103" s="47">
        <v>112310.05898411415</v>
      </c>
    </row>
    <row r="104" spans="1:19">
      <c r="A104" s="46" t="s">
        <v>496</v>
      </c>
      <c r="C104" s="47">
        <v>669943.41737843317</v>
      </c>
      <c r="D104" s="47">
        <v>1106083.7293771734</v>
      </c>
      <c r="E104" s="47">
        <v>9379.2078432980652</v>
      </c>
      <c r="F104" s="47">
        <v>15485.172211280427</v>
      </c>
      <c r="H104" s="47">
        <v>15844.911519203222</v>
      </c>
      <c r="I104" s="47">
        <v>37623.92203582501</v>
      </c>
      <c r="J104" s="47">
        <v>46766.646587171352</v>
      </c>
      <c r="K104" s="47">
        <v>46766.646587171352</v>
      </c>
      <c r="L104" s="47">
        <v>46692.315493257964</v>
      </c>
      <c r="M104" s="47">
        <v>46506.487758474505</v>
      </c>
      <c r="N104" s="47">
        <v>45800.342366297351</v>
      </c>
      <c r="O104" s="47">
        <v>41972.291029758024</v>
      </c>
      <c r="P104" s="47">
        <v>37921.246411478547</v>
      </c>
      <c r="Q104" s="47">
        <v>30599.633661010128</v>
      </c>
      <c r="R104" s="47">
        <v>17740.354413994537</v>
      </c>
      <c r="S104" s="47">
        <v>39259.206101919466</v>
      </c>
    </row>
    <row r="105" spans="1:19">
      <c r="A105" s="46" t="s">
        <v>364</v>
      </c>
      <c r="C105" s="47">
        <v>11015.398185771679</v>
      </c>
      <c r="D105" s="47">
        <v>17739.71842077592</v>
      </c>
      <c r="E105" s="47">
        <v>154.21557460080351</v>
      </c>
      <c r="F105" s="47">
        <v>248.3560578908629</v>
      </c>
      <c r="H105" s="47">
        <v>557.01885929601337</v>
      </c>
      <c r="I105" s="47">
        <v>658.46208276397761</v>
      </c>
      <c r="J105" s="47">
        <v>703.11915396454879</v>
      </c>
      <c r="K105" s="47">
        <v>709.73501636463345</v>
      </c>
      <c r="L105" s="47">
        <v>711.38898196465459</v>
      </c>
      <c r="M105" s="47">
        <v>706.42708516459106</v>
      </c>
      <c r="N105" s="47">
        <v>711.38898196465459</v>
      </c>
      <c r="O105" s="47">
        <v>706.97840703126474</v>
      </c>
      <c r="P105" s="47">
        <v>697.60593529781158</v>
      </c>
      <c r="Q105" s="47">
        <v>661.77001396401988</v>
      </c>
      <c r="R105" s="47">
        <v>537.72259396243328</v>
      </c>
      <c r="S105" s="47">
        <v>660.11604836399886</v>
      </c>
    </row>
    <row r="106" spans="1:19">
      <c r="A106" s="46" t="s">
        <v>497</v>
      </c>
      <c r="C106" s="47">
        <v>13732.295532752885</v>
      </c>
      <c r="D106" s="47">
        <v>22176.83040785477</v>
      </c>
      <c r="E106" s="47">
        <v>192.2521374585404</v>
      </c>
      <c r="F106" s="47">
        <v>310.47562570996678</v>
      </c>
      <c r="H106" s="47">
        <v>630.8163639841141</v>
      </c>
      <c r="I106" s="47">
        <v>810.27274339338805</v>
      </c>
      <c r="J106" s="47">
        <v>887.76527086557439</v>
      </c>
      <c r="K106" s="47">
        <v>926.10367919391922</v>
      </c>
      <c r="L106" s="47">
        <v>925.28796837842253</v>
      </c>
      <c r="M106" s="47">
        <v>933.44507653338951</v>
      </c>
      <c r="N106" s="47">
        <v>909.78946288398527</v>
      </c>
      <c r="O106" s="47">
        <v>899.18522228252823</v>
      </c>
      <c r="P106" s="47">
        <v>872.26676537113713</v>
      </c>
      <c r="Q106" s="47">
        <v>833.9283570427923</v>
      </c>
      <c r="R106" s="47">
        <v>731.9645051057048</v>
      </c>
      <c r="S106" s="47">
        <v>823.32411644133504</v>
      </c>
    </row>
    <row r="107" spans="1:19">
      <c r="A107" s="46" t="s">
        <v>498</v>
      </c>
      <c r="C107" s="47">
        <v>167533.25239409955</v>
      </c>
      <c r="D107" s="47">
        <v>272759.84405158029</v>
      </c>
      <c r="E107" s="47">
        <v>2345.4655335173939</v>
      </c>
      <c r="F107" s="47">
        <v>3818.6378167221242</v>
      </c>
      <c r="H107" s="47">
        <v>5301.0267675635259</v>
      </c>
      <c r="I107" s="47">
        <v>9868.414803057638</v>
      </c>
      <c r="J107" s="47">
        <v>11553.186935553331</v>
      </c>
      <c r="K107" s="47">
        <v>11592.141204512771</v>
      </c>
      <c r="L107" s="47">
        <v>11436.324128675016</v>
      </c>
      <c r="M107" s="47">
        <v>11290.245620077125</v>
      </c>
      <c r="N107" s="47">
        <v>10998.088602881338</v>
      </c>
      <c r="O107" s="47">
        <v>10394.29743401005</v>
      </c>
      <c r="P107" s="47">
        <v>8904.2966463115445</v>
      </c>
      <c r="Q107" s="47">
        <v>6557.3019415054032</v>
      </c>
      <c r="R107" s="47" t="e">
        <v>#VALUE!</v>
      </c>
      <c r="S107" s="47">
        <v>9936.584773736653</v>
      </c>
    </row>
    <row r="108" spans="1:19">
      <c r="A108" s="46" t="s">
        <v>499</v>
      </c>
      <c r="C108" s="47">
        <v>216325.33893678893</v>
      </c>
      <c r="D108" s="47">
        <v>353405.87248164625</v>
      </c>
      <c r="E108" s="47">
        <v>3028.5547451150451</v>
      </c>
      <c r="F108" s="47">
        <v>4947.6822147430476</v>
      </c>
      <c r="H108" s="47">
        <v>8164.1861502461907</v>
      </c>
      <c r="I108" s="47">
        <v>13337.614312800157</v>
      </c>
      <c r="J108" s="47">
        <v>13587.53837862402</v>
      </c>
      <c r="K108" s="47">
        <v>13087.690246976294</v>
      </c>
      <c r="L108" s="47">
        <v>13375.102922673734</v>
      </c>
      <c r="M108" s="47">
        <v>13375.102922673734</v>
      </c>
      <c r="N108" s="47">
        <v>12950.232010773167</v>
      </c>
      <c r="O108" s="47">
        <v>13062.697840393907</v>
      </c>
      <c r="P108" s="47">
        <v>12287.93323633993</v>
      </c>
      <c r="Q108" s="47">
        <v>10838.373654561527</v>
      </c>
      <c r="R108" s="47">
        <v>6777.1075849237513</v>
      </c>
      <c r="S108" s="47">
        <v>12112.986390263226</v>
      </c>
    </row>
    <row r="109" spans="1:19">
      <c r="A109" s="46" t="s">
        <v>363</v>
      </c>
      <c r="C109" s="47">
        <v>20360.38653076172</v>
      </c>
      <c r="D109" s="47">
        <v>33162.906512155358</v>
      </c>
      <c r="E109" s="47">
        <v>285.0454114306641</v>
      </c>
      <c r="F109" s="47">
        <v>464.28069117017503</v>
      </c>
      <c r="H109" s="47">
        <v>926.89869019671801</v>
      </c>
      <c r="I109" s="47">
        <v>1149.1032971919583</v>
      </c>
      <c r="J109" s="47">
        <v>1260.8332973195083</v>
      </c>
      <c r="K109" s="47">
        <v>1361.2647581083177</v>
      </c>
      <c r="L109" s="47">
        <v>1388.8834098252401</v>
      </c>
      <c r="M109" s="47">
        <v>1408.9697019830021</v>
      </c>
      <c r="N109" s="47">
        <v>1436.5883536999245</v>
      </c>
      <c r="O109" s="47">
        <v>1393.9049828646807</v>
      </c>
      <c r="P109" s="47">
        <v>1415.2466682823024</v>
      </c>
      <c r="Q109" s="47">
        <v>1196.8082410666425</v>
      </c>
      <c r="R109" s="47">
        <v>855.34127438469136</v>
      </c>
      <c r="S109" s="47">
        <v>1219.4053197441247</v>
      </c>
    </row>
    <row r="110" spans="1:19">
      <c r="A110" s="46" t="s">
        <v>500</v>
      </c>
      <c r="C110" s="47">
        <v>559598.36278239021</v>
      </c>
      <c r="D110" s="47">
        <v>914240.86568972096</v>
      </c>
      <c r="E110" s="47">
        <v>7834.3770789534628</v>
      </c>
      <c r="F110" s="47">
        <v>12799.372119656095</v>
      </c>
      <c r="H110" s="47">
        <v>17532.807990219979</v>
      </c>
      <c r="I110" s="47">
        <v>33249.108684372513</v>
      </c>
      <c r="J110" s="47">
        <v>37855.61061196895</v>
      </c>
      <c r="K110" s="47">
        <v>36711.512094003825</v>
      </c>
      <c r="L110" s="47">
        <v>36500.75710385236</v>
      </c>
      <c r="M110" s="47">
        <v>35958.815700605715</v>
      </c>
      <c r="N110" s="47">
        <v>35477.090008830928</v>
      </c>
      <c r="O110" s="47">
        <v>34332.991490865796</v>
      </c>
      <c r="P110" s="47">
        <v>30449.078100931547</v>
      </c>
      <c r="Q110" s="47">
        <v>20814.56426543574</v>
      </c>
      <c r="R110" s="47">
        <v>11872.531111866192</v>
      </c>
      <c r="S110" s="47">
        <v>28552.283189568308</v>
      </c>
    </row>
    <row r="111" spans="1:19">
      <c r="A111" s="46" t="s">
        <v>501</v>
      </c>
      <c r="C111" s="47">
        <v>53853.608081336199</v>
      </c>
      <c r="D111" s="47">
        <v>89278.60473286167</v>
      </c>
      <c r="E111" s="47">
        <v>753.95051313870681</v>
      </c>
      <c r="F111" s="47">
        <v>1249.9004662600635</v>
      </c>
      <c r="H111" s="47">
        <v>1924.5763405316063</v>
      </c>
      <c r="I111" s="47">
        <v>2622.0461079722954</v>
      </c>
      <c r="J111" s="47">
        <v>3311.2617953249292</v>
      </c>
      <c r="K111" s="47">
        <v>3558.884197966594</v>
      </c>
      <c r="L111" s="47">
        <v>3843.6499610045084</v>
      </c>
      <c r="M111" s="47">
        <v>3868.4122012686748</v>
      </c>
      <c r="N111" s="47">
        <v>3843.6499610045084</v>
      </c>
      <c r="O111" s="47">
        <v>3831.2688408724252</v>
      </c>
      <c r="P111" s="47">
        <v>3563.011238010622</v>
      </c>
      <c r="Q111" s="47">
        <v>3286.4995550607628</v>
      </c>
      <c r="R111" s="47">
        <v>2362.0425851985474</v>
      </c>
      <c r="S111" s="47">
        <v>3071.8934727713199</v>
      </c>
    </row>
    <row r="112" spans="1:19">
      <c r="A112" s="46" t="s">
        <v>502</v>
      </c>
      <c r="C112" s="47">
        <v>194148.45486508121</v>
      </c>
      <c r="D112" s="47">
        <v>316551.37189556175</v>
      </c>
      <c r="E112" s="47">
        <v>2718.078368111137</v>
      </c>
      <c r="F112" s="47">
        <v>4431.7192065378649</v>
      </c>
      <c r="H112" s="47">
        <v>6066.9525326350504</v>
      </c>
      <c r="I112" s="47">
        <v>11278.702527483996</v>
      </c>
      <c r="J112" s="47">
        <v>13694.74557145371</v>
      </c>
      <c r="K112" s="47">
        <v>13395.616432676507</v>
      </c>
      <c r="L112" s="47">
        <v>13292.07173079209</v>
      </c>
      <c r="M112" s="47">
        <v>13038.962459519073</v>
      </c>
      <c r="N112" s="47">
        <v>12992.942592014886</v>
      </c>
      <c r="O112" s="47">
        <v>11888.465771914449</v>
      </c>
      <c r="P112" s="47">
        <v>11290.207494360044</v>
      </c>
      <c r="Q112" s="47">
        <v>8344.9359740922064</v>
      </c>
      <c r="R112" s="47">
        <v>4858.9310106501962</v>
      </c>
      <c r="S112" s="47">
        <v>10634.42438242541</v>
      </c>
    </row>
    <row r="113" spans="1:19">
      <c r="A113" s="46" t="s">
        <v>503</v>
      </c>
      <c r="C113" s="47">
        <v>174875.98325665866</v>
      </c>
      <c r="D113" s="47">
        <v>285377.88040713826</v>
      </c>
      <c r="E113" s="47">
        <v>2448.2637655932213</v>
      </c>
      <c r="F113" s="47">
        <v>3995.2903256999357</v>
      </c>
      <c r="H113" s="47">
        <v>6765.2011503107906</v>
      </c>
      <c r="I113" s="47">
        <v>9893.2728809422988</v>
      </c>
      <c r="J113" s="47">
        <v>11283.52698344519</v>
      </c>
      <c r="K113" s="47">
        <v>11452.042632233421</v>
      </c>
      <c r="L113" s="47">
        <v>11536.300456627534</v>
      </c>
      <c r="M113" s="47">
        <v>11536.300456627534</v>
      </c>
      <c r="N113" s="47">
        <v>11430.97817613489</v>
      </c>
      <c r="O113" s="47">
        <v>10999.156826115053</v>
      </c>
      <c r="P113" s="47">
        <v>10156.578582173905</v>
      </c>
      <c r="Q113" s="47">
        <v>8766.3244796710133</v>
      </c>
      <c r="R113" s="47">
        <v>6375.5087124880101</v>
      </c>
      <c r="S113" s="47">
        <v>9851.1439687452403</v>
      </c>
    </row>
    <row r="114" spans="1:19">
      <c r="A114" s="46" t="s">
        <v>504</v>
      </c>
      <c r="C114" s="47">
        <v>83170.220364831141</v>
      </c>
      <c r="D114" s="47">
        <v>137589.6691765202</v>
      </c>
      <c r="E114" s="47">
        <v>1164.3830851076359</v>
      </c>
      <c r="F114" s="47">
        <v>1926.2553684712827</v>
      </c>
      <c r="H114" s="47">
        <v>2508.9468287411014</v>
      </c>
      <c r="I114" s="47">
        <v>4198.9002436263663</v>
      </c>
      <c r="J114" s="47">
        <v>5358.7944693409772</v>
      </c>
      <c r="K114" s="47">
        <v>5670.593992382539</v>
      </c>
      <c r="L114" s="47">
        <v>5863.9096966683073</v>
      </c>
      <c r="M114" s="47">
        <v>5932.5055917374502</v>
      </c>
      <c r="N114" s="47">
        <v>6001.101486806594</v>
      </c>
      <c r="O114" s="47">
        <v>5920.0336108157881</v>
      </c>
      <c r="P114" s="47">
        <v>5489.7502690184328</v>
      </c>
      <c r="Q114" s="47">
        <v>3868.3927492023113</v>
      </c>
      <c r="R114" s="47">
        <v>2552.5987619669199</v>
      </c>
      <c r="S114" s="47">
        <v>4716.4874518753586</v>
      </c>
    </row>
    <row r="115" spans="1:19">
      <c r="A115" s="46" t="s">
        <v>505</v>
      </c>
      <c r="C115" s="47">
        <v>57554.457992125201</v>
      </c>
      <c r="D115" s="47">
        <v>93577.573517815719</v>
      </c>
      <c r="E115" s="47">
        <v>805.7624118897528</v>
      </c>
      <c r="F115" s="47">
        <v>1310.0860292494201</v>
      </c>
      <c r="H115" s="47">
        <v>1744.7621918405985</v>
      </c>
      <c r="I115" s="47">
        <v>3352.0002904243988</v>
      </c>
      <c r="J115" s="47">
        <v>3979.8276726836957</v>
      </c>
      <c r="K115" s="47">
        <v>4112.5683192185188</v>
      </c>
      <c r="L115" s="47">
        <v>4238.1337956703783</v>
      </c>
      <c r="M115" s="47">
        <v>4299.1227413755669</v>
      </c>
      <c r="N115" s="47">
        <v>4202.257945255561</v>
      </c>
      <c r="O115" s="47">
        <v>3943.9518222688794</v>
      </c>
      <c r="P115" s="47">
        <v>3147.5079430599421</v>
      </c>
      <c r="Q115" s="47">
        <v>2275.72477797989</v>
      </c>
      <c r="R115" s="47">
        <v>1698.1235863013367</v>
      </c>
      <c r="S115" s="47">
        <v>3456.0402566273679</v>
      </c>
    </row>
    <row r="116" spans="1:19">
      <c r="A116" s="46" t="s">
        <v>506</v>
      </c>
      <c r="C116" s="47">
        <v>117711.66361655072</v>
      </c>
      <c r="D116" s="47">
        <v>193635.25630565407</v>
      </c>
      <c r="E116" s="47">
        <v>1647.9632906317102</v>
      </c>
      <c r="F116" s="47">
        <v>2710.893588279157</v>
      </c>
      <c r="H116" s="47">
        <v>3518.060059547789</v>
      </c>
      <c r="I116" s="47">
        <v>6302.5073285303151</v>
      </c>
      <c r="J116" s="47">
        <v>7814.2653154779</v>
      </c>
      <c r="K116" s="47">
        <v>8144.7426428571398</v>
      </c>
      <c r="L116" s="47">
        <v>8264.2769953134593</v>
      </c>
      <c r="M116" s="47">
        <v>8088.491182877694</v>
      </c>
      <c r="N116" s="47">
        <v>7722.8566930113011</v>
      </c>
      <c r="O116" s="47">
        <v>7540.0394480781069</v>
      </c>
      <c r="P116" s="47">
        <v>6808.7704683453212</v>
      </c>
      <c r="Q116" s="47">
        <v>5451.7039963412108</v>
      </c>
      <c r="R116" s="47">
        <v>2969.6083247482002</v>
      </c>
      <c r="S116" s="47">
        <v>6379.8530860020528</v>
      </c>
    </row>
    <row r="117" spans="1:19">
      <c r="A117" s="46" t="s">
        <v>507</v>
      </c>
      <c r="C117" s="47">
        <v>51736.045094266279</v>
      </c>
      <c r="D117" s="47">
        <v>84461.474115643883</v>
      </c>
      <c r="E117" s="47">
        <v>724.30463131972795</v>
      </c>
      <c r="F117" s="47">
        <v>1182.4606376190143</v>
      </c>
      <c r="H117" s="47">
        <v>1974.9021848780699</v>
      </c>
      <c r="I117" s="47">
        <v>2883.094982027792</v>
      </c>
      <c r="J117" s="47">
        <v>3344.3425049896591</v>
      </c>
      <c r="K117" s="47">
        <v>3383.6736891181899</v>
      </c>
      <c r="L117" s="47">
        <v>3380.0981269246872</v>
      </c>
      <c r="M117" s="47">
        <v>3394.4003756986986</v>
      </c>
      <c r="N117" s="47">
        <v>3355.0691915701673</v>
      </c>
      <c r="O117" s="47">
        <v>3294.2846342806188</v>
      </c>
      <c r="P117" s="47">
        <v>3111.9309624119742</v>
      </c>
      <c r="Q117" s="47">
        <v>2439.7252700334393</v>
      </c>
      <c r="R117" s="47">
        <v>1849.7575081054706</v>
      </c>
      <c r="S117" s="47">
        <v>2922.4261661563232</v>
      </c>
    </row>
    <row r="118" spans="1:19">
      <c r="A118" s="46" t="s">
        <v>508</v>
      </c>
      <c r="C118" s="47">
        <v>8572.6231493121559</v>
      </c>
      <c r="D118" s="47">
        <v>13711.547001215307</v>
      </c>
      <c r="E118" s="47">
        <v>120.01672409037019</v>
      </c>
      <c r="F118" s="47">
        <v>191.96165801701432</v>
      </c>
      <c r="H118" s="47">
        <v>425.36147869448172</v>
      </c>
      <c r="I118" s="47">
        <v>541.05452714218654</v>
      </c>
      <c r="J118" s="47">
        <v>585.05743873127085</v>
      </c>
      <c r="K118" s="47">
        <v>603.84519873559907</v>
      </c>
      <c r="L118" s="47">
        <v>611.755834526895</v>
      </c>
      <c r="M118" s="47">
        <v>619.66647031819116</v>
      </c>
      <c r="N118" s="47">
        <v>621.64412926601506</v>
      </c>
      <c r="O118" s="47">
        <v>616.69998189645514</v>
      </c>
      <c r="P118" s="47">
        <v>597.41780715517086</v>
      </c>
      <c r="Q118" s="47">
        <v>585.05743873127085</v>
      </c>
      <c r="R118" s="47">
        <v>532.64947661393455</v>
      </c>
      <c r="S118" s="47">
        <v>555.39255451391057</v>
      </c>
    </row>
    <row r="119" spans="1:19">
      <c r="A119" s="46" t="s">
        <v>509</v>
      </c>
      <c r="C119" s="47">
        <v>17102.658952859201</v>
      </c>
      <c r="D119" s="47">
        <v>27660.797787803069</v>
      </c>
      <c r="E119" s="47">
        <v>239.43722534002882</v>
      </c>
      <c r="F119" s="47">
        <v>387.25116902924299</v>
      </c>
      <c r="H119" s="47">
        <v>622.18716839090052</v>
      </c>
      <c r="I119" s="47">
        <v>1056.4399561018179</v>
      </c>
      <c r="J119" s="47">
        <v>1180.8082962576891</v>
      </c>
      <c r="K119" s="47">
        <v>1163.1894480689409</v>
      </c>
      <c r="L119" s="47">
        <v>1150.7526140533535</v>
      </c>
      <c r="M119" s="47">
        <v>1130.0245573607085</v>
      </c>
      <c r="N119" s="47">
        <v>1094.7868609832115</v>
      </c>
      <c r="O119" s="47">
        <v>1037.7847050784371</v>
      </c>
      <c r="P119" s="47">
        <v>962.12729815028206</v>
      </c>
      <c r="Q119" s="47">
        <v>745.51910571213966</v>
      </c>
      <c r="R119" s="47">
        <v>493.67321689650021</v>
      </c>
      <c r="S119" s="47">
        <v>972.49132649660476</v>
      </c>
    </row>
    <row r="120" spans="1:19">
      <c r="A120" s="46" t="s">
        <v>510</v>
      </c>
      <c r="C120" s="47">
        <v>68475.803975161238</v>
      </c>
      <c r="D120" s="47">
        <v>112245.94875892936</v>
      </c>
      <c r="E120" s="47">
        <v>958.6612556522573</v>
      </c>
      <c r="F120" s="47">
        <v>1571.4432826250111</v>
      </c>
      <c r="H120" s="47">
        <v>2017.711745607066</v>
      </c>
      <c r="I120" s="47">
        <v>3743.8909956511334</v>
      </c>
      <c r="J120" s="47">
        <v>4807.2174136782796</v>
      </c>
      <c r="K120" s="47">
        <v>5258.3255910231292</v>
      </c>
      <c r="L120" s="47">
        <v>5249.1193016895613</v>
      </c>
      <c r="M120" s="47">
        <v>5230.7067230224238</v>
      </c>
      <c r="N120" s="47">
        <v>5207.6909996885033</v>
      </c>
      <c r="O120" s="47">
        <v>5028.1683576839205</v>
      </c>
      <c r="P120" s="47">
        <v>4779.5985456775743</v>
      </c>
      <c r="Q120" s="47">
        <v>3785.3192976521914</v>
      </c>
      <c r="R120" s="47">
        <v>3357.2268436412623</v>
      </c>
      <c r="S120" s="47">
        <v>4245.6337643306088</v>
      </c>
    </row>
    <row r="121" spans="1:19">
      <c r="A121" s="46" t="s">
        <v>511</v>
      </c>
      <c r="C121" s="47">
        <v>18578.129553150109</v>
      </c>
      <c r="D121" s="47">
        <v>30066.773961191648</v>
      </c>
      <c r="E121" s="47">
        <v>260.09381374410151</v>
      </c>
      <c r="F121" s="47">
        <v>420.93483545668306</v>
      </c>
      <c r="H121" s="47">
        <v>766.43648423832656</v>
      </c>
      <c r="I121" s="47">
        <v>1032.6723156053242</v>
      </c>
      <c r="J121" s="47">
        <v>1222.0272117112638</v>
      </c>
      <c r="K121" s="47">
        <v>1267.5862844585577</v>
      </c>
      <c r="L121" s="47">
        <v>1267.5862844585577</v>
      </c>
      <c r="M121" s="47">
        <v>1259.04395831844</v>
      </c>
      <c r="N121" s="47">
        <v>1186.4341861274406</v>
      </c>
      <c r="O121" s="47">
        <v>1082.5025514226768</v>
      </c>
      <c r="P121" s="47">
        <v>962.90998546103071</v>
      </c>
      <c r="Q121" s="47">
        <v>849.01230359279646</v>
      </c>
      <c r="R121" s="47">
        <v>689.55554897726847</v>
      </c>
      <c r="S121" s="47">
        <v>1042.6383627687949</v>
      </c>
    </row>
    <row r="122" spans="1:19">
      <c r="A122" s="46" t="s">
        <v>512</v>
      </c>
      <c r="C122" s="47">
        <v>782920.72169743758</v>
      </c>
      <c r="D122" s="47">
        <v>1271747.7054077773</v>
      </c>
      <c r="E122" s="47">
        <v>10960.890103764126</v>
      </c>
      <c r="F122" s="47">
        <v>17804.467875708884</v>
      </c>
      <c r="H122" s="47">
        <v>37867.749544024133</v>
      </c>
      <c r="I122" s="47">
        <v>42376.123420630502</v>
      </c>
      <c r="J122" s="47">
        <v>47234.284925594256</v>
      </c>
      <c r="K122" s="47">
        <v>47428.611385792807</v>
      </c>
      <c r="L122" s="47">
        <v>47273.150217633971</v>
      </c>
      <c r="M122" s="47">
        <v>47001.093173355999</v>
      </c>
      <c r="N122" s="47">
        <v>46729.036129078027</v>
      </c>
      <c r="O122" s="47">
        <v>46146.056748482377</v>
      </c>
      <c r="P122" s="47">
        <v>43891.869810179189</v>
      </c>
      <c r="Q122" s="47">
        <v>37634.557791785875</v>
      </c>
      <c r="R122" s="47">
        <v>16608.434798302755</v>
      </c>
      <c r="S122" s="47">
        <v>38139.806588302112</v>
      </c>
    </row>
    <row r="123" spans="1:19">
      <c r="A123" s="46" t="s">
        <v>513</v>
      </c>
      <c r="C123" s="47">
        <v>456691.70917415392</v>
      </c>
      <c r="D123" s="47">
        <v>752714.66553182609</v>
      </c>
      <c r="E123" s="47">
        <v>6393.6839284381549</v>
      </c>
      <c r="F123" s="47">
        <v>10538.005317445566</v>
      </c>
      <c r="H123" s="47">
        <v>11957.50024554115</v>
      </c>
      <c r="I123" s="47">
        <v>25675.057431624777</v>
      </c>
      <c r="J123" s="47">
        <v>30029.837490698941</v>
      </c>
      <c r="K123" s="47">
        <v>31390.706259159622</v>
      </c>
      <c r="L123" s="47">
        <v>31744.532138959396</v>
      </c>
      <c r="M123" s="47">
        <v>30982.445628621419</v>
      </c>
      <c r="N123" s="47">
        <v>31200.184631575125</v>
      </c>
      <c r="O123" s="47">
        <v>29893.750613852877</v>
      </c>
      <c r="P123" s="47">
        <v>27144.795701562307</v>
      </c>
      <c r="Q123" s="47">
        <v>15849.584923338687</v>
      </c>
      <c r="R123" s="47">
        <v>10514.979350972832</v>
      </c>
      <c r="S123" s="47">
        <v>24831.318795179155</v>
      </c>
    </row>
    <row r="124" spans="1:19">
      <c r="A124" s="46" t="s">
        <v>514</v>
      </c>
      <c r="C124" s="47">
        <v>559073.35688526998</v>
      </c>
      <c r="D124" s="47">
        <v>915969.98420701164</v>
      </c>
      <c r="E124" s="47">
        <v>7827.0269963937799</v>
      </c>
      <c r="F124" s="47">
        <v>12823.579778898164</v>
      </c>
      <c r="H124" s="47">
        <v>22809.620725217868</v>
      </c>
      <c r="I124" s="47">
        <v>32089.075412931292</v>
      </c>
      <c r="J124" s="47">
        <v>33996.202603350925</v>
      </c>
      <c r="K124" s="47">
        <v>33996.202603350925</v>
      </c>
      <c r="L124" s="47">
        <v>34337.777622530557</v>
      </c>
      <c r="M124" s="47">
        <v>34508.565132120377</v>
      </c>
      <c r="N124" s="47">
        <v>34764.746396505099</v>
      </c>
      <c r="O124" s="47">
        <v>34650.888056778567</v>
      </c>
      <c r="P124" s="47">
        <v>33028.406715675294</v>
      </c>
      <c r="Q124" s="47">
        <v>30352.735732101479</v>
      </c>
      <c r="R124" s="47">
        <v>16348.159945736435</v>
      </c>
      <c r="S124" s="47">
        <v>29584.191938947301</v>
      </c>
    </row>
    <row r="125" spans="1:19">
      <c r="A125" s="46" t="s">
        <v>515</v>
      </c>
      <c r="C125" s="47">
        <v>26342.013305115121</v>
      </c>
      <c r="D125" s="47">
        <v>42967.293957223985</v>
      </c>
      <c r="E125" s="47">
        <v>368.78818627161172</v>
      </c>
      <c r="F125" s="47">
        <v>601.54211540113579</v>
      </c>
      <c r="H125" s="47">
        <v>1097.4671471133697</v>
      </c>
      <c r="I125" s="47">
        <v>1462.1175584654552</v>
      </c>
      <c r="J125" s="47">
        <v>1636.908664733397</v>
      </c>
      <c r="K125" s="47">
        <v>1727.3178576306082</v>
      </c>
      <c r="L125" s="47">
        <v>1692.6610003533438</v>
      </c>
      <c r="M125" s="47">
        <v>1676.0859816555219</v>
      </c>
      <c r="N125" s="47">
        <v>1624.8541056804354</v>
      </c>
      <c r="O125" s="47">
        <v>1639.9223044966375</v>
      </c>
      <c r="P125" s="47">
        <v>1541.9790121913252</v>
      </c>
      <c r="Q125" s="47">
        <v>1370.2015456866238</v>
      </c>
      <c r="R125" s="47">
        <v>1016.0988735058797</v>
      </c>
      <c r="S125" s="47">
        <v>1481.7062169265178</v>
      </c>
    </row>
    <row r="126" spans="1:19">
      <c r="A126" s="46" t="s">
        <v>516</v>
      </c>
      <c r="C126" s="47">
        <v>20230.909615991819</v>
      </c>
      <c r="D126" s="47">
        <v>33202.760163834013</v>
      </c>
      <c r="E126" s="47">
        <v>283.23273462388545</v>
      </c>
      <c r="F126" s="47">
        <v>464.83864229367617</v>
      </c>
      <c r="H126" s="47">
        <v>917.82373795172555</v>
      </c>
      <c r="I126" s="47">
        <v>1066.5483646565813</v>
      </c>
      <c r="J126" s="47">
        <v>1196.6824130233301</v>
      </c>
      <c r="K126" s="47">
        <v>1322.6852217593885</v>
      </c>
      <c r="L126" s="47">
        <v>1454.8848899414825</v>
      </c>
      <c r="M126" s="47">
        <v>1473.4754682795894</v>
      </c>
      <c r="N126" s="47">
        <v>1533.3784429246007</v>
      </c>
      <c r="O126" s="47">
        <v>1413.5724936345782</v>
      </c>
      <c r="P126" s="47">
        <v>1477.6067079102797</v>
      </c>
      <c r="Q126" s="47">
        <v>1279.3072056371388</v>
      </c>
      <c r="R126" s="47">
        <v>1074.8108439179621</v>
      </c>
      <c r="S126" s="47">
        <v>1235.9291895148892</v>
      </c>
    </row>
    <row r="127" spans="1:19">
      <c r="A127" s="46" t="s">
        <v>517</v>
      </c>
      <c r="C127" s="47">
        <v>35183.418147280725</v>
      </c>
      <c r="D127" s="47">
        <v>58717.157131055268</v>
      </c>
      <c r="E127" s="47">
        <v>492.56785406193018</v>
      </c>
      <c r="F127" s="47">
        <v>822.04019983477372</v>
      </c>
      <c r="H127" s="47">
        <v>1110.6074267196193</v>
      </c>
      <c r="I127" s="47">
        <v>1695.8330336614481</v>
      </c>
      <c r="J127" s="47">
        <v>2206.4482046585017</v>
      </c>
      <c r="K127" s="47">
        <v>2502.5583723143272</v>
      </c>
      <c r="L127" s="47">
        <v>2623.8003307245872</v>
      </c>
      <c r="M127" s="47">
        <v>2658.7739725737001</v>
      </c>
      <c r="N127" s="47">
        <v>2700.742342792636</v>
      </c>
      <c r="O127" s="47">
        <v>2619.1371784780385</v>
      </c>
      <c r="P127" s="47">
        <v>2647.1160919573294</v>
      </c>
      <c r="Q127" s="47">
        <v>2502.5583723143272</v>
      </c>
      <c r="R127" s="47">
        <v>2040.9062999060325</v>
      </c>
      <c r="S127" s="47">
        <v>2150.4903776999204</v>
      </c>
    </row>
    <row r="128" spans="1:19">
      <c r="A128" s="46" t="s">
        <v>518</v>
      </c>
      <c r="C128" s="47">
        <v>95906.073581188655</v>
      </c>
      <c r="D128" s="47">
        <v>158461.78647643334</v>
      </c>
      <c r="E128" s="47">
        <v>1342.6850301366412</v>
      </c>
      <c r="F128" s="47">
        <v>2218.4650106700669</v>
      </c>
      <c r="H128" s="47">
        <v>2391.4219035885631</v>
      </c>
      <c r="I128" s="47">
        <v>5108.0616067693818</v>
      </c>
      <c r="J128" s="47">
        <v>6480.9870481618382</v>
      </c>
      <c r="K128" s="47">
        <v>6743.8876645986911</v>
      </c>
      <c r="L128" s="47">
        <v>6919.1547422232616</v>
      </c>
      <c r="M128" s="47">
        <v>6749.7299005195118</v>
      </c>
      <c r="N128" s="47">
        <v>6451.7758685577428</v>
      </c>
      <c r="O128" s="47">
        <v>6305.7199705372695</v>
      </c>
      <c r="P128" s="47">
        <v>5727.3386143761927</v>
      </c>
      <c r="Q128" s="47">
        <v>4079.8280847052438</v>
      </c>
      <c r="R128" s="47">
        <v>2134.3635230725286</v>
      </c>
      <c r="S128" s="47">
        <v>5189.8529096608481</v>
      </c>
    </row>
    <row r="129" spans="1:19">
      <c r="A129" s="46" t="s">
        <v>519</v>
      </c>
      <c r="C129" s="47">
        <v>1223904.9688606611</v>
      </c>
      <c r="D129" s="47">
        <v>2013122.6034196902</v>
      </c>
      <c r="E129" s="47">
        <v>17134.669564049258</v>
      </c>
      <c r="F129" s="47">
        <v>28183.716447875664</v>
      </c>
      <c r="H129" s="47">
        <v>46389.935143252522</v>
      </c>
      <c r="I129" s="47">
        <v>66692.203123571497</v>
      </c>
      <c r="J129" s="47">
        <v>75274.234383390882</v>
      </c>
      <c r="K129" s="47">
        <v>77387.719693644918</v>
      </c>
      <c r="L129" s="47">
        <v>77771.989750054738</v>
      </c>
      <c r="M129" s="47">
        <v>77067.494646636726</v>
      </c>
      <c r="N129" s="47">
        <v>76427.044552620355</v>
      </c>
      <c r="O129" s="47">
        <v>75722.549449202357</v>
      </c>
      <c r="P129" s="47">
        <v>73416.929110743411</v>
      </c>
      <c r="Q129" s="47">
        <v>63682.087681694553</v>
      </c>
      <c r="R129" s="47">
        <v>28393.287501392479</v>
      </c>
      <c r="S129" s="47">
        <v>62465.232503063453</v>
      </c>
    </row>
    <row r="130" spans="1:19">
      <c r="A130" s="46" t="s">
        <v>520</v>
      </c>
      <c r="C130" s="47">
        <v>213971.24471519329</v>
      </c>
      <c r="D130" s="47">
        <v>352878.96860317379</v>
      </c>
      <c r="E130" s="47">
        <v>2995.5974260127059</v>
      </c>
      <c r="F130" s="47">
        <v>4940.3055604444335</v>
      </c>
      <c r="H130" s="47">
        <v>4869.5565008540407</v>
      </c>
      <c r="I130" s="47">
        <v>11972.854515861312</v>
      </c>
      <c r="J130" s="47">
        <v>15109.027601732447</v>
      </c>
      <c r="K130" s="47">
        <v>15537.905972449864</v>
      </c>
      <c r="L130" s="47">
        <v>15430.68637977051</v>
      </c>
      <c r="M130" s="47">
        <v>14907.990865458654</v>
      </c>
      <c r="N130" s="47">
        <v>14559.527189250752</v>
      </c>
      <c r="O130" s="47">
        <v>13500.733711542121</v>
      </c>
      <c r="P130" s="47">
        <v>11852.232474097036</v>
      </c>
      <c r="Q130" s="47">
        <v>9359.3769443020319</v>
      </c>
      <c r="R130" s="47">
        <v>5338.6422188262186</v>
      </c>
      <c r="S130" s="47">
        <v>13567.745956966719</v>
      </c>
    </row>
    <row r="131" spans="1:19">
      <c r="A131" s="46" t="s">
        <v>521</v>
      </c>
      <c r="C131" s="47">
        <v>24287.646477987986</v>
      </c>
      <c r="D131" s="47">
        <v>39405.620366044415</v>
      </c>
      <c r="E131" s="47">
        <v>340.02705069183179</v>
      </c>
      <c r="F131" s="47">
        <v>551.67868512462178</v>
      </c>
      <c r="H131" s="47">
        <v>1080.0993271673453</v>
      </c>
      <c r="I131" s="47">
        <v>1417.5604122875056</v>
      </c>
      <c r="J131" s="47">
        <v>1526.6896189184033</v>
      </c>
      <c r="K131" s="47">
        <v>1555.231103729561</v>
      </c>
      <c r="L131" s="47">
        <v>1605.5984298668984</v>
      </c>
      <c r="M131" s="47">
        <v>1632.4610038068117</v>
      </c>
      <c r="N131" s="47">
        <v>1642.5344690342793</v>
      </c>
      <c r="O131" s="47">
        <v>1639.1766472917902</v>
      </c>
      <c r="P131" s="47">
        <v>1570.3413015707624</v>
      </c>
      <c r="Q131" s="47">
        <v>1288.2842752016732</v>
      </c>
      <c r="R131" s="47">
        <v>937.3919031115563</v>
      </c>
      <c r="S131" s="47">
        <v>1425.9549666437285</v>
      </c>
    </row>
    <row r="132" spans="1:19">
      <c r="A132" s="46" t="s">
        <v>522</v>
      </c>
      <c r="C132" s="47">
        <v>241279.08938256436</v>
      </c>
      <c r="D132" s="47">
        <v>397448.7840537029</v>
      </c>
      <c r="E132" s="47">
        <v>3377.9072513559013</v>
      </c>
      <c r="F132" s="47">
        <v>5564.2829767518406</v>
      </c>
      <c r="H132" s="47">
        <v>8169.0919253157108</v>
      </c>
      <c r="I132" s="47">
        <v>13504.921115045994</v>
      </c>
      <c r="J132" s="47">
        <v>15542.725227706804</v>
      </c>
      <c r="K132" s="47">
        <v>15851.077165806797</v>
      </c>
      <c r="L132" s="47">
        <v>15904.703589824185</v>
      </c>
      <c r="M132" s="47">
        <v>15810.857347793753</v>
      </c>
      <c r="N132" s="47">
        <v>15958.330013841576</v>
      </c>
      <c r="O132" s="47">
        <v>15690.197893754626</v>
      </c>
      <c r="P132" s="47">
        <v>14751.735473450306</v>
      </c>
      <c r="Q132" s="47">
        <v>12794.37099681558</v>
      </c>
      <c r="R132" s="47">
        <v>8423.8174393983118</v>
      </c>
      <c r="S132" s="47">
        <v>13317.22863098513</v>
      </c>
    </row>
    <row r="133" spans="1:19">
      <c r="A133" s="46" t="s">
        <v>523</v>
      </c>
      <c r="C133" s="47">
        <v>62544.644512665342</v>
      </c>
      <c r="D133" s="47">
        <v>100927.21157725053</v>
      </c>
      <c r="E133" s="47">
        <v>875.6250231773148</v>
      </c>
      <c r="F133" s="47">
        <v>1412.9809620815074</v>
      </c>
      <c r="H133" s="47">
        <v>2920.8794582725418</v>
      </c>
      <c r="I133" s="47">
        <v>3670.255143002486</v>
      </c>
      <c r="J133" s="47">
        <v>3923.1119691383565</v>
      </c>
      <c r="K133" s="47">
        <v>4152.981811080057</v>
      </c>
      <c r="L133" s="47">
        <v>4175.9687952742279</v>
      </c>
      <c r="M133" s="47">
        <v>4286.3063194062433</v>
      </c>
      <c r="N133" s="47">
        <v>4277.1115257285755</v>
      </c>
      <c r="O133" s="47">
        <v>4051.8390806257084</v>
      </c>
      <c r="P133" s="47">
        <v>4033.4494932703728</v>
      </c>
      <c r="Q133" s="47">
        <v>3403.6061263501133</v>
      </c>
      <c r="R133" s="47">
        <v>2566.8799016823232</v>
      </c>
      <c r="S133" s="47">
        <v>3753.008286101498</v>
      </c>
    </row>
    <row r="134" spans="1:19">
      <c r="A134" s="46" t="s">
        <v>524</v>
      </c>
      <c r="C134" s="47">
        <v>74821.428804895229</v>
      </c>
      <c r="D134" s="47">
        <v>121911.23778623401</v>
      </c>
      <c r="E134" s="47">
        <v>1047.5000032685332</v>
      </c>
      <c r="F134" s="47">
        <v>1706.7573290072762</v>
      </c>
      <c r="H134" s="47">
        <v>3105.418869704587</v>
      </c>
      <c r="I134" s="47">
        <v>4350.2635028189252</v>
      </c>
      <c r="J134" s="47">
        <v>4643.4043357781084</v>
      </c>
      <c r="K134" s="47">
        <v>4779.9356826358107</v>
      </c>
      <c r="L134" s="47">
        <v>4824.1075889721251</v>
      </c>
      <c r="M134" s="47">
        <v>4824.1075889721251</v>
      </c>
      <c r="N134" s="47">
        <v>4691.5918699631793</v>
      </c>
      <c r="O134" s="47">
        <v>4623.326196534329</v>
      </c>
      <c r="P134" s="47">
        <v>4334.2009914239015</v>
      </c>
      <c r="Q134" s="47">
        <v>4069.1695534060104</v>
      </c>
      <c r="R134" s="47">
        <v>2884.5593380230107</v>
      </c>
      <c r="S134" s="47">
        <v>4245.8571787512719</v>
      </c>
    </row>
    <row r="135" spans="1:19">
      <c r="A135" s="46" t="s">
        <v>525</v>
      </c>
      <c r="C135" s="47">
        <v>92061.524190873795</v>
      </c>
      <c r="D135" s="47">
        <v>150872.02943947056</v>
      </c>
      <c r="E135" s="47">
        <v>1288.8613386722332</v>
      </c>
      <c r="F135" s="47">
        <v>2112.2084121525877</v>
      </c>
      <c r="H135" s="47">
        <v>4077.2527306377783</v>
      </c>
      <c r="I135" s="47">
        <v>5005.471668930124</v>
      </c>
      <c r="J135" s="47">
        <v>5481.3605662272139</v>
      </c>
      <c r="K135" s="47">
        <v>5641.5607890797</v>
      </c>
      <c r="L135" s="47">
        <v>5754.6432993285134</v>
      </c>
      <c r="M135" s="47">
        <v>5768.7786131096145</v>
      </c>
      <c r="N135" s="47">
        <v>5858.3022670565915</v>
      </c>
      <c r="O135" s="47">
        <v>5731.0844430266761</v>
      </c>
      <c r="P135" s="47">
        <v>5632.1372465589648</v>
      </c>
      <c r="Q135" s="47">
        <v>5349.4309709369309</v>
      </c>
      <c r="R135" s="47">
        <v>3926.476050306027</v>
      </c>
      <c r="S135" s="47">
        <v>5217.5013756466478</v>
      </c>
    </row>
    <row r="136" spans="1:19">
      <c r="A136" s="46" t="s">
        <v>526</v>
      </c>
      <c r="C136" s="47">
        <v>52929.669473587419</v>
      </c>
      <c r="D136" s="47">
        <v>87175.555058913218</v>
      </c>
      <c r="E136" s="47">
        <v>741.01537263022385</v>
      </c>
      <c r="F136" s="47">
        <v>1220.457770824785</v>
      </c>
      <c r="H136" s="47">
        <v>1669.6702745882217</v>
      </c>
      <c r="I136" s="47">
        <v>2980.686987219291</v>
      </c>
      <c r="J136" s="47">
        <v>3447.4883924742921</v>
      </c>
      <c r="K136" s="47">
        <v>3543.4971921366687</v>
      </c>
      <c r="L136" s="47">
        <v>3639.5059917990448</v>
      </c>
      <c r="M136" s="47">
        <v>3675.9231227054638</v>
      </c>
      <c r="N136" s="47">
        <v>3679.2337709696831</v>
      </c>
      <c r="O136" s="47">
        <v>3573.2930265146474</v>
      </c>
      <c r="P136" s="47">
        <v>3440.8670959458523</v>
      </c>
      <c r="Q136" s="47">
        <v>2970.7550424266306</v>
      </c>
      <c r="R136" s="47">
        <v>2192.7527003349614</v>
      </c>
      <c r="S136" s="47">
        <v>3070.0744903532272</v>
      </c>
    </row>
    <row r="137" spans="1:19">
      <c r="A137" s="46" t="s">
        <v>527</v>
      </c>
      <c r="C137" s="47">
        <v>240057.57792399864</v>
      </c>
      <c r="D137" s="47">
        <v>396841.07455634593</v>
      </c>
      <c r="E137" s="47">
        <v>3360.806090935981</v>
      </c>
      <c r="F137" s="47">
        <v>5555.7750437888435</v>
      </c>
      <c r="H137" s="47">
        <v>5550.6943581068208</v>
      </c>
      <c r="I137" s="47">
        <v>13278.499605614794</v>
      </c>
      <c r="J137" s="47">
        <v>16403.404459798348</v>
      </c>
      <c r="K137" s="47">
        <v>16741.232011601973</v>
      </c>
      <c r="L137" s="47">
        <v>16839.765047544697</v>
      </c>
      <c r="M137" s="47">
        <v>17135.364155372874</v>
      </c>
      <c r="N137" s="47">
        <v>16896.06963951197</v>
      </c>
      <c r="O137" s="47">
        <v>16037.424612011082</v>
      </c>
      <c r="P137" s="47">
        <v>14362.363000984766</v>
      </c>
      <c r="Q137" s="47">
        <v>9632.7772757339844</v>
      </c>
      <c r="R137" s="47">
        <v>5466.2374701559138</v>
      </c>
      <c r="S137" s="47">
        <v>12602.84450200754</v>
      </c>
    </row>
    <row r="138" spans="1:19">
      <c r="A138" s="46" t="s">
        <v>528</v>
      </c>
      <c r="C138" s="47">
        <v>348651.10680791101</v>
      </c>
      <c r="D138" s="47">
        <v>579646.88114777196</v>
      </c>
      <c r="E138" s="47">
        <v>4881.1154953107543</v>
      </c>
      <c r="F138" s="47">
        <v>8115.0563360688075</v>
      </c>
      <c r="H138" s="47">
        <v>8491.7314145716682</v>
      </c>
      <c r="I138" s="47">
        <v>17692.180928993781</v>
      </c>
      <c r="J138" s="47">
        <v>23510.112239584229</v>
      </c>
      <c r="K138" s="47">
        <v>24341.245283954293</v>
      </c>
      <c r="L138" s="47">
        <v>24321.916608503827</v>
      </c>
      <c r="M138" s="47">
        <v>24418.559985756165</v>
      </c>
      <c r="N138" s="47">
        <v>23761.385020440295</v>
      </c>
      <c r="O138" s="47">
        <v>23026.895353322565</v>
      </c>
      <c r="P138" s="47">
        <v>21248.657211879636</v>
      </c>
      <c r="Q138" s="47">
        <v>16319.844972010649</v>
      </c>
      <c r="R138" s="47">
        <v>8704.3468445268009</v>
      </c>
      <c r="S138" s="47">
        <v>17885.467683498446</v>
      </c>
    </row>
    <row r="139" spans="1:19">
      <c r="A139" s="46" t="s">
        <v>529</v>
      </c>
      <c r="C139" s="47">
        <v>517227.42455045035</v>
      </c>
      <c r="D139" s="47">
        <v>847671.12228384917</v>
      </c>
      <c r="E139" s="47">
        <v>7241.1839437063054</v>
      </c>
      <c r="F139" s="47">
        <v>11867.395711973888</v>
      </c>
      <c r="H139" s="47">
        <v>14565.163429573307</v>
      </c>
      <c r="I139" s="47">
        <v>27423.279880469814</v>
      </c>
      <c r="J139" s="47">
        <v>35786.581984634591</v>
      </c>
      <c r="K139" s="47">
        <v>37812.932714718561</v>
      </c>
      <c r="L139" s="47">
        <v>37923.460936359501</v>
      </c>
      <c r="M139" s="47">
        <v>37297.134347060826</v>
      </c>
      <c r="N139" s="47">
        <v>34607.614287131182</v>
      </c>
      <c r="O139" s="47">
        <v>31844.40874610758</v>
      </c>
      <c r="P139" s="47">
        <v>26796.953291171129</v>
      </c>
      <c r="Q139" s="47">
        <v>20238.945473808446</v>
      </c>
      <c r="R139" s="47">
        <v>14233.578764650476</v>
      </c>
      <c r="S139" s="47">
        <v>27018.009734453019</v>
      </c>
    </row>
    <row r="140" spans="1:19">
      <c r="A140" s="46" t="s">
        <v>530</v>
      </c>
      <c r="C140" s="47">
        <v>507475.89911427157</v>
      </c>
      <c r="D140" s="47">
        <v>840847.47035409731</v>
      </c>
      <c r="E140" s="47">
        <v>7104.6625875998025</v>
      </c>
      <c r="F140" s="47">
        <v>11771.864584957362</v>
      </c>
      <c r="H140" s="47">
        <v>11949.155231418448</v>
      </c>
      <c r="I140" s="47">
        <v>31279.960282979479</v>
      </c>
      <c r="J140" s="47">
        <v>33436.594315942748</v>
      </c>
      <c r="K140" s="47">
        <v>33673.298051267986</v>
      </c>
      <c r="L140" s="47">
        <v>33541.795976087298</v>
      </c>
      <c r="M140" s="47">
        <v>33226.190995653647</v>
      </c>
      <c r="N140" s="47">
        <v>32963.186845292272</v>
      </c>
      <c r="O140" s="47">
        <v>32174.174394208152</v>
      </c>
      <c r="P140" s="47">
        <v>30201.643266497846</v>
      </c>
      <c r="Q140" s="47">
        <v>26914.091386980661</v>
      </c>
      <c r="R140" s="47">
        <v>17419.64155893504</v>
      </c>
      <c r="S140" s="47">
        <v>31963.771073919052</v>
      </c>
    </row>
    <row r="141" spans="1:19">
      <c r="A141" s="46" t="s">
        <v>531</v>
      </c>
      <c r="C141" s="47">
        <v>182568.45388057391</v>
      </c>
      <c r="D141" s="47">
        <v>301683.60449189285</v>
      </c>
      <c r="E141" s="47">
        <v>2555.9583543280351</v>
      </c>
      <c r="F141" s="47">
        <v>4223.5704628864996</v>
      </c>
      <c r="H141" s="47">
        <v>4943.5449588133688</v>
      </c>
      <c r="I141" s="47">
        <v>8937.2544989823291</v>
      </c>
      <c r="J141" s="47">
        <v>12490.885852906777</v>
      </c>
      <c r="K141" s="47">
        <v>12930.964039151291</v>
      </c>
      <c r="L141" s="47">
        <v>13084.991404336868</v>
      </c>
      <c r="M141" s="47">
        <v>13272.024633490788</v>
      </c>
      <c r="N141" s="47">
        <v>13117.997268305207</v>
      </c>
      <c r="O141" s="47">
        <v>12468.88194359455</v>
      </c>
      <c r="P141" s="47">
        <v>11104.639566236558</v>
      </c>
      <c r="Q141" s="47">
        <v>7352.9730285020805</v>
      </c>
      <c r="R141" s="47">
        <v>4503.466772568855</v>
      </c>
      <c r="S141" s="47">
        <v>9729.3952342224547</v>
      </c>
    </row>
    <row r="142" spans="1:19">
      <c r="A142" s="46" t="s">
        <v>532</v>
      </c>
      <c r="C142" s="47">
        <v>143626.65459945015</v>
      </c>
      <c r="D142" s="47">
        <v>236375.57596868897</v>
      </c>
      <c r="E142" s="47">
        <v>2010.7731643923021</v>
      </c>
      <c r="F142" s="47">
        <v>3309.2580635616455</v>
      </c>
      <c r="H142" s="47">
        <v>3403.4296035273883</v>
      </c>
      <c r="I142" s="47">
        <v>7711.4252146368081</v>
      </c>
      <c r="J142" s="47">
        <v>10331.839867851</v>
      </c>
      <c r="K142" s="47">
        <v>10450.564156346143</v>
      </c>
      <c r="L142" s="47">
        <v>10603.209670125611</v>
      </c>
      <c r="M142" s="47">
        <v>10688.012733336425</v>
      </c>
      <c r="N142" s="47">
        <v>10671.052120694261</v>
      </c>
      <c r="O142" s="47">
        <v>10314.879255208836</v>
      </c>
      <c r="P142" s="47">
        <v>8500.09370249739</v>
      </c>
      <c r="Q142" s="47">
        <v>5633.7501659718318</v>
      </c>
      <c r="R142" s="47">
        <v>3403.4296035273883</v>
      </c>
      <c r="S142" s="47">
        <v>8101.5193054065576</v>
      </c>
    </row>
    <row r="143" spans="1:19">
      <c r="A143" s="46" t="s">
        <v>533</v>
      </c>
      <c r="C143" s="47">
        <v>12918.551649888339</v>
      </c>
      <c r="D143" s="47">
        <v>20923.418434848998</v>
      </c>
      <c r="E143" s="47">
        <v>180.85972309843675</v>
      </c>
      <c r="F143" s="47">
        <v>292.92785808788597</v>
      </c>
      <c r="H143" s="47">
        <v>517.84438571850364</v>
      </c>
      <c r="I143" s="47">
        <v>766.27167570228335</v>
      </c>
      <c r="J143" s="47">
        <v>864.60747798752948</v>
      </c>
      <c r="K143" s="47">
        <v>882.72196788218002</v>
      </c>
      <c r="L143" s="47">
        <v>865.47007274441751</v>
      </c>
      <c r="M143" s="47">
        <v>853.39374614798373</v>
      </c>
      <c r="N143" s="47">
        <v>845.63039333599068</v>
      </c>
      <c r="O143" s="47">
        <v>800.77546597780815</v>
      </c>
      <c r="P143" s="47">
        <v>731.76788542675843</v>
      </c>
      <c r="Q143" s="47">
        <v>677.42441574280656</v>
      </c>
      <c r="R143" s="47">
        <v>496.27951679630053</v>
      </c>
      <c r="S143" s="47">
        <v>742.98161726630406</v>
      </c>
    </row>
    <row r="144" spans="1:19">
      <c r="A144" s="46" t="s">
        <v>534</v>
      </c>
      <c r="C144" s="47">
        <v>150980.43731400976</v>
      </c>
      <c r="D144" s="47">
        <v>246597.97841775222</v>
      </c>
      <c r="E144" s="47">
        <v>2113.7261223961368</v>
      </c>
      <c r="F144" s="47">
        <v>3452.3716978485313</v>
      </c>
      <c r="H144" s="47">
        <v>4867.8831857966443</v>
      </c>
      <c r="I144" s="47">
        <v>9676.8914787469312</v>
      </c>
      <c r="J144" s="47">
        <v>9757.1754235374192</v>
      </c>
      <c r="K144" s="47">
        <v>9749.1470290583693</v>
      </c>
      <c r="L144" s="47">
        <v>10174.651936447963</v>
      </c>
      <c r="M144" s="47">
        <v>10070.282808220325</v>
      </c>
      <c r="N144" s="47">
        <v>10038.169230304131</v>
      </c>
      <c r="O144" s="47">
        <v>9428.0112498964154</v>
      </c>
      <c r="P144" s="47">
        <v>8825.881663967748</v>
      </c>
      <c r="Q144" s="47">
        <v>7501.196574924681</v>
      </c>
      <c r="R144" s="47">
        <v>4683.2301127785195</v>
      </c>
      <c r="S144" s="47">
        <v>8255.8656559552765</v>
      </c>
    </row>
    <row r="145" spans="1:19">
      <c r="A145" s="46" t="s">
        <v>535</v>
      </c>
      <c r="C145" s="47">
        <v>187666.77416109139</v>
      </c>
      <c r="D145" s="47">
        <v>301334.60614185664</v>
      </c>
      <c r="E145" s="47">
        <v>2627.3348382552795</v>
      </c>
      <c r="F145" s="47">
        <v>4218.684485985993</v>
      </c>
      <c r="H145" s="47">
        <v>8152.3715342564401</v>
      </c>
      <c r="I145" s="47">
        <v>12079.072850175125</v>
      </c>
      <c r="J145" s="47">
        <v>12210.327490261545</v>
      </c>
      <c r="K145" s="47">
        <v>12319.706357000228</v>
      </c>
      <c r="L145" s="47">
        <v>12385.333677043436</v>
      </c>
      <c r="M145" s="47">
        <v>12057.197076827393</v>
      </c>
      <c r="N145" s="47">
        <v>11597.805836524925</v>
      </c>
      <c r="O145" s="47">
        <v>10897.781089397362</v>
      </c>
      <c r="P145" s="47">
        <v>10044.62592883564</v>
      </c>
      <c r="Q145" s="47">
        <v>8513.3217944940898</v>
      </c>
      <c r="R145" s="47">
        <v>5549.1545058758056</v>
      </c>
      <c r="S145" s="47">
        <v>7922.675914105208</v>
      </c>
    </row>
    <row r="146" spans="1:19">
      <c r="A146" s="46" t="s">
        <v>536</v>
      </c>
      <c r="C146" s="47">
        <v>75399.774184711525</v>
      </c>
      <c r="D146" s="47">
        <v>121796.91801434015</v>
      </c>
      <c r="E146" s="47">
        <v>1055.5968385859615</v>
      </c>
      <c r="F146" s="47">
        <v>1705.1568522007622</v>
      </c>
      <c r="H146" s="47">
        <v>2924.0806394279462</v>
      </c>
      <c r="I146" s="47">
        <v>4719.0771537103774</v>
      </c>
      <c r="J146" s="47">
        <v>4892.1484429662596</v>
      </c>
      <c r="K146" s="47">
        <v>5208.6216576055867</v>
      </c>
      <c r="L146" s="47">
        <v>5119.6135659882757</v>
      </c>
      <c r="M146" s="47">
        <v>4931.7075947961757</v>
      </c>
      <c r="N146" s="47">
        <v>4931.7075947961757</v>
      </c>
      <c r="O146" s="47">
        <v>4531.1711825182774</v>
      </c>
      <c r="P146" s="47">
        <v>4264.1469076663452</v>
      </c>
      <c r="Q146" s="47">
        <v>3764.712615813658</v>
      </c>
      <c r="R146" s="47">
        <v>2602.6625308098801</v>
      </c>
      <c r="S146" s="47">
        <v>4318.54074143248</v>
      </c>
    </row>
    <row r="147" spans="1:19">
      <c r="A147" s="46" t="s">
        <v>537</v>
      </c>
      <c r="C147" s="47">
        <v>85495.265870861069</v>
      </c>
      <c r="D147" s="47">
        <v>139144.24536124527</v>
      </c>
      <c r="E147" s="47">
        <v>1196.933722192055</v>
      </c>
      <c r="F147" s="47">
        <v>1948.0194350574338</v>
      </c>
      <c r="H147" s="47">
        <v>3332.5424401239543</v>
      </c>
      <c r="I147" s="47">
        <v>4984.6927176430336</v>
      </c>
      <c r="J147" s="47">
        <v>5540.7048302696467</v>
      </c>
      <c r="K147" s="47">
        <v>5662.4979597021429</v>
      </c>
      <c r="L147" s="47">
        <v>5678.3840200629038</v>
      </c>
      <c r="M147" s="47">
        <v>5540.7048302696467</v>
      </c>
      <c r="N147" s="47">
        <v>5498.3420026409522</v>
      </c>
      <c r="O147" s="47">
        <v>5418.9117008371504</v>
      </c>
      <c r="P147" s="47">
        <v>5148.8486747042243</v>
      </c>
      <c r="Q147" s="47">
        <v>4370.431717026966</v>
      </c>
      <c r="R147" s="47">
        <v>3020.1165863623337</v>
      </c>
      <c r="S147" s="47">
        <v>4121.5501047083862</v>
      </c>
    </row>
    <row r="148" spans="1:19">
      <c r="A148" s="46" t="s">
        <v>538</v>
      </c>
      <c r="C148" s="47">
        <v>689783.01382609841</v>
      </c>
      <c r="D148" s="47">
        <v>1143503.9903997649</v>
      </c>
      <c r="E148" s="47">
        <v>9656.9621935653777</v>
      </c>
      <c r="F148" s="47">
        <v>16009.055865596709</v>
      </c>
      <c r="H148" s="47">
        <v>17450.413082560954</v>
      </c>
      <c r="I148" s="47">
        <v>31930.543087239192</v>
      </c>
      <c r="J148" s="47">
        <v>47621.386303010928</v>
      </c>
      <c r="K148" s="47">
        <v>51108.240350960208</v>
      </c>
      <c r="L148" s="47">
        <v>52803.238846491106</v>
      </c>
      <c r="M148" s="47">
        <v>52270.525033609956</v>
      </c>
      <c r="N148" s="47">
        <v>50430.240952747838</v>
      </c>
      <c r="O148" s="47">
        <v>46459.101620361165</v>
      </c>
      <c r="P148" s="47">
        <v>42197.391117312058</v>
      </c>
      <c r="Q148" s="47">
        <v>31930.543087239192</v>
      </c>
      <c r="R148" s="47">
        <v>22874.408268259824</v>
      </c>
      <c r="S148" s="47">
        <v>42778.533458636935</v>
      </c>
    </row>
    <row r="149" spans="1:19">
      <c r="A149" s="46" t="s">
        <v>360</v>
      </c>
      <c r="C149" s="47">
        <v>22819.618871343544</v>
      </c>
      <c r="D149" s="47">
        <v>37657.059749501306</v>
      </c>
      <c r="E149" s="47">
        <v>319.47466419880965</v>
      </c>
      <c r="F149" s="47">
        <v>527.19883649301835</v>
      </c>
      <c r="H149" s="47">
        <v>889.51379043022848</v>
      </c>
      <c r="I149" s="47">
        <v>1136.9804149385791</v>
      </c>
      <c r="J149" s="47">
        <v>1376.5659367555809</v>
      </c>
      <c r="K149" s="47">
        <v>1512.1209030467794</v>
      </c>
      <c r="L149" s="47">
        <v>1635.0661050318199</v>
      </c>
      <c r="M149" s="47">
        <v>1641.3709871848987</v>
      </c>
      <c r="N149" s="47">
        <v>1687.0813827947213</v>
      </c>
      <c r="O149" s="47">
        <v>1606.6941353429643</v>
      </c>
      <c r="P149" s="47">
        <v>1529.4593289677464</v>
      </c>
      <c r="Q149" s="47">
        <v>1392.3281421382785</v>
      </c>
      <c r="R149" s="47">
        <v>974.62969949679496</v>
      </c>
      <c r="S149" s="47">
        <v>1324.5506589926792</v>
      </c>
    </row>
    <row r="150" spans="1:19">
      <c r="A150" s="46" t="s">
        <v>539</v>
      </c>
      <c r="C150" s="47">
        <v>153210.46878351731</v>
      </c>
      <c r="D150" s="47">
        <v>254152.98847306136</v>
      </c>
      <c r="E150" s="47">
        <v>2144.9465629692422</v>
      </c>
      <c r="F150" s="47">
        <v>3558.1418386228593</v>
      </c>
      <c r="H150" s="47">
        <v>3952.8015068966606</v>
      </c>
      <c r="I150" s="47">
        <v>7459.5670460890287</v>
      </c>
      <c r="J150" s="47">
        <v>10181.924504146262</v>
      </c>
      <c r="K150" s="47">
        <v>10938.64759418251</v>
      </c>
      <c r="L150" s="47">
        <v>11086.300880043242</v>
      </c>
      <c r="M150" s="47">
        <v>11104.757540775832</v>
      </c>
      <c r="N150" s="47">
        <v>10827.90762978696</v>
      </c>
      <c r="O150" s="47">
        <v>10246.522816710331</v>
      </c>
      <c r="P150" s="47">
        <v>9314.4614497144648</v>
      </c>
      <c r="Q150" s="47">
        <v>6887.410563378694</v>
      </c>
      <c r="R150" s="47">
        <v>4174.281435687757</v>
      </c>
      <c r="S150" s="47">
        <v>8114.7785020960237</v>
      </c>
    </row>
    <row r="151" spans="1:19">
      <c r="A151" s="46" t="s">
        <v>540</v>
      </c>
      <c r="C151" s="47">
        <v>8893.7464131157358</v>
      </c>
      <c r="D151" s="47">
        <v>14565.139499030847</v>
      </c>
      <c r="E151" s="47">
        <v>124.5124497836203</v>
      </c>
      <c r="F151" s="47">
        <v>203.91195298643186</v>
      </c>
      <c r="H151" s="47">
        <v>364.56496569454487</v>
      </c>
      <c r="I151" s="47">
        <v>454.57593242183384</v>
      </c>
      <c r="J151" s="47">
        <v>561.23276285896395</v>
      </c>
      <c r="K151" s="47">
        <v>635.83089281788148</v>
      </c>
      <c r="L151" s="47">
        <v>670.97216064976828</v>
      </c>
      <c r="M151" s="47">
        <v>670.35564717903355</v>
      </c>
      <c r="N151" s="47">
        <v>664.80702594241984</v>
      </c>
      <c r="O151" s="47">
        <v>614.86943481289654</v>
      </c>
      <c r="P151" s="47">
        <v>603.15567886893416</v>
      </c>
      <c r="Q151" s="47">
        <v>545.20341261985777</v>
      </c>
      <c r="R151" s="47">
        <v>420.66769153141678</v>
      </c>
      <c r="S151" s="47">
        <v>537.80525097103941</v>
      </c>
    </row>
    <row r="152" spans="1:19">
      <c r="A152" s="46" t="s">
        <v>541</v>
      </c>
      <c r="C152" s="47">
        <v>1308341.9192059026</v>
      </c>
      <c r="D152" s="47">
        <v>2172803.5663817623</v>
      </c>
      <c r="E152" s="47">
        <v>18316.786868882638</v>
      </c>
      <c r="F152" s="47">
        <v>30419.249929344671</v>
      </c>
      <c r="H152" s="47">
        <v>34742.401703007068</v>
      </c>
      <c r="I152" s="47">
        <v>67667.582119415019</v>
      </c>
      <c r="J152" s="47">
        <v>88541.716108902401</v>
      </c>
      <c r="K152" s="47">
        <v>90119.829331475339</v>
      </c>
      <c r="L152" s="47">
        <v>88183.054012863096</v>
      </c>
      <c r="M152" s="47">
        <v>87537.462239992368</v>
      </c>
      <c r="N152" s="47">
        <v>86963.602886329478</v>
      </c>
      <c r="O152" s="47">
        <v>82946.587410689273</v>
      </c>
      <c r="P152" s="47">
        <v>77710.120808515479</v>
      </c>
      <c r="Q152" s="47">
        <v>69747.822276442967</v>
      </c>
      <c r="R152" s="47">
        <v>44498.01071527609</v>
      </c>
      <c r="S152" s="47">
        <v>72688.851463965257</v>
      </c>
    </row>
    <row r="153" spans="1:19">
      <c r="A153" s="46" t="s">
        <v>542</v>
      </c>
      <c r="C153" s="47">
        <v>346731.51641125482</v>
      </c>
      <c r="D153" s="47">
        <v>578923.69111581193</v>
      </c>
      <c r="E153" s="47">
        <v>4854.2412297575675</v>
      </c>
      <c r="F153" s="47">
        <v>8104.9316756213675</v>
      </c>
      <c r="H153" s="47">
        <v>8069.228730523555</v>
      </c>
      <c r="I153" s="47">
        <v>17050.157840381136</v>
      </c>
      <c r="J153" s="47">
        <v>23091.873787012606</v>
      </c>
      <c r="K153" s="47">
        <v>23602.153850072693</v>
      </c>
      <c r="L153" s="47">
        <v>24296.134735834417</v>
      </c>
      <c r="M153" s="47">
        <v>25275.87245690979</v>
      </c>
      <c r="N153" s="47">
        <v>25541.218089701037</v>
      </c>
      <c r="O153" s="47">
        <v>24969.704419073736</v>
      </c>
      <c r="P153" s="47">
        <v>23520.509039983081</v>
      </c>
      <c r="Q153" s="47">
        <v>14600.813537692708</v>
      </c>
      <c r="R153" s="47">
        <v>7742.6494901650976</v>
      </c>
      <c r="S153" s="47">
        <v>18989.222080009484</v>
      </c>
    </row>
    <row r="154" spans="1:19">
      <c r="A154" s="46" t="s">
        <v>543</v>
      </c>
      <c r="C154" s="47">
        <v>403852.90189033584</v>
      </c>
      <c r="D154" s="47">
        <v>668322.10586547502</v>
      </c>
      <c r="E154" s="47">
        <v>5653.9406264647023</v>
      </c>
      <c r="F154" s="47">
        <v>9356.5094821166513</v>
      </c>
      <c r="H154" s="47">
        <v>10067.759978829075</v>
      </c>
      <c r="I154" s="47">
        <v>20598.577167366911</v>
      </c>
      <c r="J154" s="47">
        <v>27185.939408707596</v>
      </c>
      <c r="K154" s="47">
        <v>28530.299049797533</v>
      </c>
      <c r="L154" s="47">
        <v>28575.111037833864</v>
      </c>
      <c r="M154" s="47">
        <v>28664.735013906524</v>
      </c>
      <c r="N154" s="47">
        <v>28373.457091670371</v>
      </c>
      <c r="O154" s="47">
        <v>27544.435312998245</v>
      </c>
      <c r="P154" s="47">
        <v>24049.100246164409</v>
      </c>
      <c r="Q154" s="47">
        <v>13182.193147354095</v>
      </c>
      <c r="R154" s="47">
        <v>8140.8444932668344</v>
      </c>
      <c r="S154" s="47">
        <v>20486.547197276082</v>
      </c>
    </row>
    <row r="155" spans="1:19">
      <c r="A155" s="46" t="s">
        <v>544</v>
      </c>
      <c r="C155" s="47">
        <v>22635.829199262967</v>
      </c>
      <c r="D155" s="47">
        <v>36377.913369103233</v>
      </c>
      <c r="E155" s="47">
        <v>316.90160878968157</v>
      </c>
      <c r="F155" s="47">
        <v>509.29078716744527</v>
      </c>
      <c r="H155" s="47">
        <v>1122.4594118709151</v>
      </c>
      <c r="I155" s="47">
        <v>1330.9440469801564</v>
      </c>
      <c r="J155" s="47">
        <v>1445.7277224897387</v>
      </c>
      <c r="K155" s="47">
        <v>1483.2081063296023</v>
      </c>
      <c r="L155" s="47">
        <v>1503.11956024453</v>
      </c>
      <c r="M155" s="47">
        <v>1511.3183942095002</v>
      </c>
      <c r="N155" s="47">
        <v>1504.2908222395254</v>
      </c>
      <c r="O155" s="47">
        <v>1503.11956024453</v>
      </c>
      <c r="P155" s="47">
        <v>1455.0978184497046</v>
      </c>
      <c r="Q155" s="47">
        <v>1418.7886966048368</v>
      </c>
      <c r="R155" s="47">
        <v>1116.6031018959363</v>
      </c>
      <c r="S155" s="47">
        <v>1397.7059806949135</v>
      </c>
    </row>
    <row r="156" spans="1:19">
      <c r="A156" s="46" t="s">
        <v>545</v>
      </c>
      <c r="C156" s="47">
        <v>20843.396033632613</v>
      </c>
      <c r="D156" s="47">
        <v>34060.558635346708</v>
      </c>
      <c r="E156" s="47">
        <v>291.80754447085656</v>
      </c>
      <c r="F156" s="47">
        <v>476.8478208948539</v>
      </c>
      <c r="H156" s="47">
        <v>809.41345975238119</v>
      </c>
      <c r="I156" s="47">
        <v>1116.2581878644382</v>
      </c>
      <c r="J156" s="47">
        <v>1383.3267475175248</v>
      </c>
      <c r="K156" s="47">
        <v>1570.8429702526712</v>
      </c>
      <c r="L156" s="47">
        <v>1523.4903887538967</v>
      </c>
      <c r="M156" s="47">
        <v>1654.1835136905138</v>
      </c>
      <c r="N156" s="47">
        <v>1707.2184049691407</v>
      </c>
      <c r="O156" s="47">
        <v>1580.3134865524257</v>
      </c>
      <c r="P156" s="47">
        <v>1434.4675355362012</v>
      </c>
      <c r="Q156" s="47">
        <v>1445.8321550959072</v>
      </c>
      <c r="R156" s="47">
        <v>936.31837816909604</v>
      </c>
      <c r="S156" s="47">
        <v>1275.3628617003196</v>
      </c>
    </row>
    <row r="157" spans="1:19">
      <c r="A157" s="46" t="s">
        <v>546</v>
      </c>
      <c r="C157" s="47">
        <v>83162.871975012924</v>
      </c>
      <c r="D157" s="47">
        <v>135423.75397303037</v>
      </c>
      <c r="E157" s="47">
        <v>1164.280207650181</v>
      </c>
      <c r="F157" s="47">
        <v>1895.9325556224253</v>
      </c>
      <c r="H157" s="47">
        <v>2508.5819752333837</v>
      </c>
      <c r="I157" s="47">
        <v>4710.5381933717772</v>
      </c>
      <c r="J157" s="47">
        <v>6101.8525661902922</v>
      </c>
      <c r="K157" s="47">
        <v>6475.5527076498111</v>
      </c>
      <c r="L157" s="47">
        <v>6590.537366560432</v>
      </c>
      <c r="M157" s="47">
        <v>6648.029696015742</v>
      </c>
      <c r="N157" s="47">
        <v>6527.2958041595912</v>
      </c>
      <c r="O157" s="47">
        <v>6170.8433615366657</v>
      </c>
      <c r="P157" s="47">
        <v>5480.935408072939</v>
      </c>
      <c r="Q157" s="47">
        <v>3830.9055527055252</v>
      </c>
      <c r="R157" s="47">
        <v>2663.8112647627222</v>
      </c>
      <c r="S157" s="47">
        <v>5268.2137890882896</v>
      </c>
    </row>
    <row r="158" spans="1:19">
      <c r="A158" s="46" t="s">
        <v>547</v>
      </c>
      <c r="C158" s="47">
        <v>464631.40138881811</v>
      </c>
      <c r="D158" s="47">
        <v>772873.82503575983</v>
      </c>
      <c r="E158" s="47">
        <v>6504.8396194434536</v>
      </c>
      <c r="F158" s="47">
        <v>10820.233550500638</v>
      </c>
      <c r="H158" s="47">
        <v>11825.414727556121</v>
      </c>
      <c r="I158" s="47">
        <v>23247.291563815819</v>
      </c>
      <c r="J158" s="47">
        <v>30747.83280421677</v>
      </c>
      <c r="K158" s="47">
        <v>32116.352609482907</v>
      </c>
      <c r="L158" s="47">
        <v>32300.576429422585</v>
      </c>
      <c r="M158" s="47">
        <v>32300.576429422585</v>
      </c>
      <c r="N158" s="47">
        <v>31668.951903915131</v>
      </c>
      <c r="O158" s="47">
        <v>30668.87973852834</v>
      </c>
      <c r="P158" s="47">
        <v>28273.970079312596</v>
      </c>
      <c r="Q158" s="47">
        <v>21194.511855916611</v>
      </c>
      <c r="R158" s="47">
        <v>9430.5050683403788</v>
      </c>
      <c r="S158" s="47">
        <v>24010.504532137318</v>
      </c>
    </row>
    <row r="159" spans="1:19">
      <c r="A159" s="46" t="s">
        <v>548</v>
      </c>
      <c r="C159" s="47">
        <v>60045.598857059347</v>
      </c>
      <c r="D159" s="47">
        <v>99134.37962724852</v>
      </c>
      <c r="E159" s="47">
        <v>840.63838399883093</v>
      </c>
      <c r="F159" s="47">
        <v>1387.8813147814792</v>
      </c>
      <c r="H159" s="47">
        <v>1768.6937134572445</v>
      </c>
      <c r="I159" s="47">
        <v>3434.4199962858065</v>
      </c>
      <c r="J159" s="47">
        <v>3962.2910014075342</v>
      </c>
      <c r="K159" s="47">
        <v>3880.1777339441542</v>
      </c>
      <c r="L159" s="47">
        <v>3997.4824017489827</v>
      </c>
      <c r="M159" s="47">
        <v>4048.3144244644077</v>
      </c>
      <c r="N159" s="47">
        <v>4071.775358025373</v>
      </c>
      <c r="O159" s="47">
        <v>3915.3691342856023</v>
      </c>
      <c r="P159" s="47">
        <v>3649.4785539279915</v>
      </c>
      <c r="Q159" s="47">
        <v>3137.2481711802411</v>
      </c>
      <c r="R159" s="47">
        <v>2222.2717623025806</v>
      </c>
      <c r="S159" s="47">
        <v>3344.4864176354381</v>
      </c>
    </row>
    <row r="160" spans="1:19">
      <c r="A160" s="46" t="s">
        <v>549</v>
      </c>
      <c r="C160" s="47">
        <v>15793.409183923113</v>
      </c>
      <c r="D160" s="47">
        <v>26051.430751045158</v>
      </c>
      <c r="E160" s="47">
        <v>221.10772857492358</v>
      </c>
      <c r="F160" s="47">
        <v>364.72003051463224</v>
      </c>
      <c r="H160" s="47">
        <v>594.45103444493111</v>
      </c>
      <c r="I160" s="47">
        <v>813.55493039254316</v>
      </c>
      <c r="J160" s="47">
        <v>994.50640664778496</v>
      </c>
      <c r="K160" s="47">
        <v>1049.0098633511711</v>
      </c>
      <c r="L160" s="47">
        <v>1069.7211768984578</v>
      </c>
      <c r="M160" s="47">
        <v>1069.7211768984578</v>
      </c>
      <c r="N160" s="47">
        <v>1091.5225595798124</v>
      </c>
      <c r="O160" s="47">
        <v>1055.5502781555774</v>
      </c>
      <c r="P160" s="47">
        <v>1052.2800707533743</v>
      </c>
      <c r="Q160" s="47">
        <v>991.23619924558193</v>
      </c>
      <c r="R160" s="47">
        <v>778.67271810237617</v>
      </c>
      <c r="S160" s="47">
        <v>906.21080678829958</v>
      </c>
    </row>
    <row r="161" spans="1:19">
      <c r="A161" s="46" t="s">
        <v>550</v>
      </c>
      <c r="C161" s="47">
        <v>131006.58954936106</v>
      </c>
      <c r="D161" s="47">
        <v>213051.08954312437</v>
      </c>
      <c r="E161" s="47">
        <v>1834.0922536910548</v>
      </c>
      <c r="F161" s="47">
        <v>2982.7152536037411</v>
      </c>
      <c r="H161" s="47">
        <v>4411.0028152987961</v>
      </c>
      <c r="I161" s="47">
        <v>7478.6921567029922</v>
      </c>
      <c r="J161" s="47">
        <v>8934.40532943367</v>
      </c>
      <c r="K161" s="47">
        <v>9304.5018987719777</v>
      </c>
      <c r="L161" s="47">
        <v>9460.7648947148191</v>
      </c>
      <c r="M161" s="47">
        <v>8597.206232925435</v>
      </c>
      <c r="N161" s="47">
        <v>8852.1616473584891</v>
      </c>
      <c r="O161" s="47">
        <v>8120.1928768893931</v>
      </c>
      <c r="P161" s="47">
        <v>7824.1156214187458</v>
      </c>
      <c r="Q161" s="47">
        <v>5233.4396360505907</v>
      </c>
      <c r="R161" s="47">
        <v>3596.7903627545184</v>
      </c>
      <c r="S161" s="47">
        <v>7355.3266335902226</v>
      </c>
    </row>
    <row r="162" spans="1:19">
      <c r="A162" s="46" t="s">
        <v>551</v>
      </c>
      <c r="C162" s="47">
        <v>824783.83368836832</v>
      </c>
      <c r="D162" s="47">
        <v>1363937.937873445</v>
      </c>
      <c r="E162" s="47">
        <v>11546.973671637157</v>
      </c>
      <c r="F162" s="47">
        <v>19095.13113022823</v>
      </c>
      <c r="H162" s="47">
        <v>29952.122991148815</v>
      </c>
      <c r="I162" s="47">
        <v>44018.423741664963</v>
      </c>
      <c r="J162" s="47">
        <v>49518.977169478741</v>
      </c>
      <c r="K162" s="47">
        <v>51996.325659868155</v>
      </c>
      <c r="L162" s="47">
        <v>52668.148979295787</v>
      </c>
      <c r="M162" s="47">
        <v>53717.872915901469</v>
      </c>
      <c r="N162" s="47">
        <v>53549.917086044574</v>
      </c>
      <c r="O162" s="47">
        <v>52836.104809152705</v>
      </c>
      <c r="P162" s="47">
        <v>51366.491297904744</v>
      </c>
      <c r="Q162" s="47">
        <v>44858.202890949513</v>
      </c>
      <c r="R162" s="47">
        <v>21512.342540839127</v>
      </c>
      <c r="S162" s="47">
        <v>44816.213933485284</v>
      </c>
    </row>
    <row r="163" spans="1:19">
      <c r="A163" s="46" t="s">
        <v>552</v>
      </c>
      <c r="C163" s="47">
        <v>1523850.7145338727</v>
      </c>
      <c r="D163" s="47">
        <v>2490364.9414840708</v>
      </c>
      <c r="E163" s="47">
        <v>21333.910003474219</v>
      </c>
      <c r="F163" s="47">
        <v>34865.109180776992</v>
      </c>
      <c r="H163" s="47">
        <v>65870.640738309041</v>
      </c>
      <c r="I163" s="47">
        <v>82481.714851036726</v>
      </c>
      <c r="J163" s="47">
        <v>93480.939601356396</v>
      </c>
      <c r="K163" s="47">
        <v>94528.484815672578</v>
      </c>
      <c r="L163" s="47">
        <v>92433.394387040244</v>
      </c>
      <c r="M163" s="47">
        <v>93555.764259521864</v>
      </c>
      <c r="N163" s="47">
        <v>93256.465626860096</v>
      </c>
      <c r="O163" s="47">
        <v>92283.745070709367</v>
      </c>
      <c r="P163" s="47">
        <v>89141.109427760879</v>
      </c>
      <c r="Q163" s="47">
        <v>72904.158605860386</v>
      </c>
      <c r="R163" s="47">
        <v>33396.73909450807</v>
      </c>
      <c r="S163" s="47">
        <v>75971.969590643435</v>
      </c>
    </row>
    <row r="164" spans="1:19">
      <c r="A164" s="46" t="s">
        <v>553</v>
      </c>
      <c r="C164" s="47">
        <v>25648.725164548501</v>
      </c>
      <c r="D164" s="47">
        <v>41747.53898118595</v>
      </c>
      <c r="E164" s="47">
        <v>359.08215230367904</v>
      </c>
      <c r="F164" s="47">
        <v>584.4655457366033</v>
      </c>
      <c r="H164" s="47">
        <v>1022.5359954997191</v>
      </c>
      <c r="I164" s="47">
        <v>1401.4420350049177</v>
      </c>
      <c r="J164" s="47">
        <v>1663.614395672656</v>
      </c>
      <c r="K164" s="47">
        <v>1713.3697341935408</v>
      </c>
      <c r="L164" s="47">
        <v>1740.1610703201709</v>
      </c>
      <c r="M164" s="47">
        <v>1734.4200697216072</v>
      </c>
      <c r="N164" s="47">
        <v>1721.0244016582922</v>
      </c>
      <c r="O164" s="47">
        <v>1569.8447192294502</v>
      </c>
      <c r="P164" s="47">
        <v>1422.4923705329843</v>
      </c>
      <c r="Q164" s="47">
        <v>1102.9100038796098</v>
      </c>
      <c r="R164" s="47">
        <v>892.406648598944</v>
      </c>
      <c r="S164" s="47">
        <v>1458.8520409905536</v>
      </c>
    </row>
    <row r="165" spans="1:19">
      <c r="A165" s="46" t="s">
        <v>554</v>
      </c>
      <c r="C165" s="47">
        <v>22475.143905317043</v>
      </c>
      <c r="D165" s="47">
        <v>37005.292108688409</v>
      </c>
      <c r="E165" s="47">
        <v>314.65201467443859</v>
      </c>
      <c r="F165" s="47">
        <v>518.07408952163769</v>
      </c>
      <c r="H165" s="47">
        <v>920.82682427148484</v>
      </c>
      <c r="I165" s="47">
        <v>1146.1599138970723</v>
      </c>
      <c r="J165" s="47">
        <v>1307.8493064528375</v>
      </c>
      <c r="K165" s="47">
        <v>1395.574402413944</v>
      </c>
      <c r="L165" s="47">
        <v>1495.3401978206925</v>
      </c>
      <c r="M165" s="47">
        <v>1571.024594336157</v>
      </c>
      <c r="N165" s="47">
        <v>1614.0270923563073</v>
      </c>
      <c r="O165" s="47">
        <v>1555.5436950489031</v>
      </c>
      <c r="P165" s="47">
        <v>1467.8185990877964</v>
      </c>
      <c r="Q165" s="47">
        <v>1216.6840106501188</v>
      </c>
      <c r="R165" s="47">
        <v>898.46552530100666</v>
      </c>
      <c r="S165" s="47">
        <v>1302.6890066904193</v>
      </c>
    </row>
    <row r="166" spans="1:19">
      <c r="A166" s="46" t="s">
        <v>555</v>
      </c>
      <c r="C166" s="47">
        <v>26342.530947224139</v>
      </c>
      <c r="D166" s="47">
        <v>42605.021637829159</v>
      </c>
      <c r="E166" s="47">
        <v>368.79543326113793</v>
      </c>
      <c r="F166" s="47">
        <v>596.47030292960824</v>
      </c>
      <c r="H166" s="47">
        <v>1327.6318936262498</v>
      </c>
      <c r="I166" s="47">
        <v>1503.5242421963385</v>
      </c>
      <c r="J166" s="47">
        <v>1614.1232189487428</v>
      </c>
      <c r="K166" s="47">
        <v>1679.4165907664271</v>
      </c>
      <c r="L166" s="47">
        <v>1702.069393233787</v>
      </c>
      <c r="M166" s="47">
        <v>1702.069393233787</v>
      </c>
      <c r="N166" s="47">
        <v>1710.064499986973</v>
      </c>
      <c r="O166" s="47">
        <v>1684.7466619352174</v>
      </c>
      <c r="P166" s="47">
        <v>1663.4263772600555</v>
      </c>
      <c r="Q166" s="47">
        <v>1603.4630766111616</v>
      </c>
      <c r="R166" s="47">
        <v>1279.6612531071348</v>
      </c>
      <c r="S166" s="47">
        <v>1563.4875428452322</v>
      </c>
    </row>
    <row r="167" spans="1:19">
      <c r="A167" s="46" t="s">
        <v>556</v>
      </c>
      <c r="C167" s="47">
        <v>131105.78091420297</v>
      </c>
      <c r="D167" s="47">
        <v>216456.6262137848</v>
      </c>
      <c r="E167" s="47">
        <v>1835.4809327988416</v>
      </c>
      <c r="F167" s="47">
        <v>3030.3927669929872</v>
      </c>
      <c r="H167" s="47">
        <v>3680.0260789259391</v>
      </c>
      <c r="I167" s="47">
        <v>7237.2174999040781</v>
      </c>
      <c r="J167" s="47">
        <v>8966.9300301894309</v>
      </c>
      <c r="K167" s="47">
        <v>9132.3807939558574</v>
      </c>
      <c r="L167" s="47">
        <v>9169.9832402664069</v>
      </c>
      <c r="M167" s="47">
        <v>9139.9012832179669</v>
      </c>
      <c r="N167" s="47">
        <v>9034.6144335484223</v>
      </c>
      <c r="O167" s="47">
        <v>8726.2743738019053</v>
      </c>
      <c r="P167" s="47">
        <v>8297.606485861621</v>
      </c>
      <c r="Q167" s="47">
        <v>6635.5783589352595</v>
      </c>
      <c r="R167" s="47">
        <v>4341.8291339916395</v>
      </c>
      <c r="S167" s="47">
        <v>7545.5575596505978</v>
      </c>
    </row>
    <row r="168" spans="1:19">
      <c r="A168" s="46" t="s">
        <v>557</v>
      </c>
      <c r="C168" s="47">
        <v>35616.448571849651</v>
      </c>
      <c r="D168" s="47">
        <v>59133.029759104735</v>
      </c>
      <c r="E168" s="47">
        <v>498.63028000589514</v>
      </c>
      <c r="F168" s="47">
        <v>827.86241662746636</v>
      </c>
      <c r="H168" s="47">
        <v>1325.4239053310496</v>
      </c>
      <c r="I168" s="47">
        <v>1737.6109166330725</v>
      </c>
      <c r="J168" s="47">
        <v>2108.7842949697206</v>
      </c>
      <c r="K168" s="47">
        <v>2332.3085946310166</v>
      </c>
      <c r="L168" s="47">
        <v>2500.4644897890557</v>
      </c>
      <c r="M168" s="47">
        <v>2512.7685796786682</v>
      </c>
      <c r="N168" s="47">
        <v>2514.8192613269375</v>
      </c>
      <c r="O168" s="47">
        <v>2537.376759457894</v>
      </c>
      <c r="P168" s="47">
        <v>2525.0726695682811</v>
      </c>
      <c r="Q168" s="47">
        <v>2344.612684520629</v>
      </c>
      <c r="R168" s="47">
        <v>2032.9090739837759</v>
      </c>
      <c r="S168" s="47">
        <v>2059.5679354112699</v>
      </c>
    </row>
    <row r="169" spans="1:19">
      <c r="A169" s="46" t="s">
        <v>558</v>
      </c>
      <c r="C169" s="47">
        <v>22572.166909542757</v>
      </c>
      <c r="D169" s="47">
        <v>37277.974193468377</v>
      </c>
      <c r="E169" s="47">
        <v>316.01033673359859</v>
      </c>
      <c r="F169" s="47">
        <v>521.89163870855725</v>
      </c>
      <c r="H169" s="47">
        <v>689.55709808165329</v>
      </c>
      <c r="I169" s="47">
        <v>1143.4364624235961</v>
      </c>
      <c r="J169" s="47">
        <v>1514.9284834031398</v>
      </c>
      <c r="K169" s="47">
        <v>1685.6949769179303</v>
      </c>
      <c r="L169" s="47">
        <v>1718.64991426289</v>
      </c>
      <c r="M169" s="47">
        <v>1682.699073522934</v>
      </c>
      <c r="N169" s="47">
        <v>1690.1888320104249</v>
      </c>
      <c r="O169" s="47">
        <v>1694.6826871029193</v>
      </c>
      <c r="P169" s="47">
        <v>1534.4018554706158</v>
      </c>
      <c r="Q169" s="47">
        <v>1392.0964442082909</v>
      </c>
      <c r="R169" s="47">
        <v>1110.4815250786364</v>
      </c>
      <c r="S169" s="47">
        <v>1369.6271687458184</v>
      </c>
    </row>
    <row r="170" spans="1:19">
      <c r="A170" s="46" t="s">
        <v>559</v>
      </c>
      <c r="C170" s="47">
        <v>101528.54380794814</v>
      </c>
      <c r="D170" s="47">
        <v>167913.03667047055</v>
      </c>
      <c r="E170" s="47">
        <v>1421.3996133112739</v>
      </c>
      <c r="F170" s="47">
        <v>2350.7825133865877</v>
      </c>
      <c r="H170" s="47">
        <v>3098.4611920168736</v>
      </c>
      <c r="I170" s="47">
        <v>5420.6388549498361</v>
      </c>
      <c r="J170" s="47">
        <v>6414.9045784469954</v>
      </c>
      <c r="K170" s="47">
        <v>7195.6367237434215</v>
      </c>
      <c r="L170" s="47">
        <v>6775.2424916607306</v>
      </c>
      <c r="M170" s="47">
        <v>7195.6367237434215</v>
      </c>
      <c r="N170" s="47">
        <v>7222.3284210185138</v>
      </c>
      <c r="O170" s="47">
        <v>7122.234556236921</v>
      </c>
      <c r="P170" s="47">
        <v>6274.7731677527654</v>
      </c>
      <c r="Q170" s="47">
        <v>6114.6229841022159</v>
      </c>
      <c r="R170" s="47">
        <v>4419.7002071339048</v>
      </c>
      <c r="S170" s="47">
        <v>5814.3413897574364</v>
      </c>
    </row>
    <row r="171" spans="1:19">
      <c r="A171" s="46" t="s">
        <v>560</v>
      </c>
      <c r="C171" s="47">
        <v>258748.04388176557</v>
      </c>
      <c r="D171" s="47">
        <v>422998.40362092142</v>
      </c>
      <c r="E171" s="47">
        <v>3622.4726143447178</v>
      </c>
      <c r="F171" s="47">
        <v>5921.9776506929002</v>
      </c>
      <c r="H171" s="47">
        <v>7697.5051328786058</v>
      </c>
      <c r="I171" s="47">
        <v>15420.754430081221</v>
      </c>
      <c r="J171" s="47">
        <v>17629.603729081169</v>
      </c>
      <c r="K171" s="47">
        <v>18262.910171451782</v>
      </c>
      <c r="L171" s="47">
        <v>18092.998686913328</v>
      </c>
      <c r="M171" s="47">
        <v>17536.924737514739</v>
      </c>
      <c r="N171" s="47">
        <v>17660.496726269983</v>
      </c>
      <c r="O171" s="47">
        <v>16888.171796549719</v>
      </c>
      <c r="P171" s="47">
        <v>15405.307931486816</v>
      </c>
      <c r="Q171" s="47">
        <v>9844.5684375009332</v>
      </c>
      <c r="R171" s="47">
        <v>6369.1062537597572</v>
      </c>
      <c r="S171" s="47">
        <v>14308.606531284044</v>
      </c>
    </row>
    <row r="172" spans="1:19">
      <c r="A172" s="46" t="s">
        <v>561</v>
      </c>
      <c r="C172" s="47">
        <v>61205.746379241536</v>
      </c>
      <c r="D172" s="47">
        <v>99921.03069658998</v>
      </c>
      <c r="E172" s="47">
        <v>856.88044930938156</v>
      </c>
      <c r="F172" s="47">
        <v>1398.8944297522598</v>
      </c>
      <c r="H172" s="47">
        <v>2109.4794795864477</v>
      </c>
      <c r="I172" s="47">
        <v>3240.0131429242483</v>
      </c>
      <c r="J172" s="47">
        <v>4158.0404785669743</v>
      </c>
      <c r="K172" s="47">
        <v>4255.7933893067084</v>
      </c>
      <c r="L172" s="47">
        <v>4243.0430096450036</v>
      </c>
      <c r="M172" s="47">
        <v>4107.0389599201562</v>
      </c>
      <c r="N172" s="47">
        <v>3962.5346570875045</v>
      </c>
      <c r="O172" s="47">
        <v>3728.7776966229217</v>
      </c>
      <c r="P172" s="47">
        <v>3282.5144084632634</v>
      </c>
      <c r="Q172" s="47">
        <v>2334.7361869432279</v>
      </c>
      <c r="R172" s="47">
        <v>1714.2177100736076</v>
      </c>
      <c r="S172" s="47">
        <v>3414.2683316342104</v>
      </c>
    </row>
    <row r="173" spans="1:19">
      <c r="A173" s="46" t="s">
        <v>562</v>
      </c>
      <c r="C173" s="47">
        <v>138905.5038604147</v>
      </c>
      <c r="D173" s="47">
        <v>224779.32787322527</v>
      </c>
      <c r="E173" s="47">
        <v>1944.6770540458058</v>
      </c>
      <c r="F173" s="47">
        <v>3146.910590225154</v>
      </c>
      <c r="H173" s="47">
        <v>5407.6313015269625</v>
      </c>
      <c r="I173" s="47">
        <v>8218.7872731898515</v>
      </c>
      <c r="J173" s="47">
        <v>9019.4880453043588</v>
      </c>
      <c r="K173" s="47">
        <v>9080.4109301391582</v>
      </c>
      <c r="L173" s="47">
        <v>9097.8174686633884</v>
      </c>
      <c r="M173" s="47">
        <v>9089.1141994012705</v>
      </c>
      <c r="N173" s="47">
        <v>8697.467082606132</v>
      </c>
      <c r="O173" s="47">
        <v>7679.1845789387717</v>
      </c>
      <c r="P173" s="47">
        <v>6547.7595748639233</v>
      </c>
      <c r="Q173" s="47">
        <v>5512.0705326723319</v>
      </c>
      <c r="R173" s="47">
        <v>3945.4820654917748</v>
      </c>
      <c r="S173" s="47">
        <v>7505.119193696486</v>
      </c>
    </row>
    <row r="174" spans="1:19">
      <c r="A174" s="46" t="s">
        <v>563</v>
      </c>
      <c r="C174" s="47">
        <v>16003.874152708271</v>
      </c>
      <c r="D174" s="47">
        <v>25991.629269663386</v>
      </c>
      <c r="E174" s="47">
        <v>224.0542381379158</v>
      </c>
      <c r="F174" s="47">
        <v>363.8828097752874</v>
      </c>
      <c r="H174" s="47">
        <v>707.70723365489619</v>
      </c>
      <c r="I174" s="47">
        <v>936.22504966781923</v>
      </c>
      <c r="J174" s="47">
        <v>1025.4471451629047</v>
      </c>
      <c r="K174" s="47">
        <v>1053.6704610848196</v>
      </c>
      <c r="L174" s="47">
        <v>1069.1477633645793</v>
      </c>
      <c r="M174" s="47">
        <v>1079.16248836913</v>
      </c>
      <c r="N174" s="47">
        <v>1071.8790520021839</v>
      </c>
      <c r="O174" s="47">
        <v>1053.6704610848196</v>
      </c>
      <c r="P174" s="47">
        <v>1042.7453065344009</v>
      </c>
      <c r="Q174" s="47">
        <v>997.22382924098997</v>
      </c>
      <c r="R174" s="47">
        <v>732.288831393338</v>
      </c>
      <c r="S174" s="47">
        <v>942.59805648889687</v>
      </c>
    </row>
    <row r="175" spans="1:19">
      <c r="A175" s="46" t="s">
        <v>564</v>
      </c>
      <c r="C175" s="47">
        <v>51367.507218628023</v>
      </c>
      <c r="D175" s="47">
        <v>84177.668668485465</v>
      </c>
      <c r="E175" s="47">
        <v>719.14510106079229</v>
      </c>
      <c r="F175" s="47">
        <v>1178.4873613587965</v>
      </c>
      <c r="H175" s="47">
        <v>1303.3074385109167</v>
      </c>
      <c r="I175" s="47">
        <v>2842.8994905664704</v>
      </c>
      <c r="J175" s="47">
        <v>3590.2431325017706</v>
      </c>
      <c r="K175" s="47">
        <v>3721.7499536148493</v>
      </c>
      <c r="L175" s="47">
        <v>3785.8996224504976</v>
      </c>
      <c r="M175" s="47">
        <v>3827.5969071936684</v>
      </c>
      <c r="N175" s="47">
        <v>3737.7873708237612</v>
      </c>
      <c r="O175" s="47">
        <v>3580.6206821764235</v>
      </c>
      <c r="P175" s="47">
        <v>2964.7838613542021</v>
      </c>
      <c r="Q175" s="47">
        <v>1662.5455839905458</v>
      </c>
      <c r="R175" s="47">
        <v>1361.0421404630001</v>
      </c>
      <c r="S175" s="47">
        <v>3057.8008811658915</v>
      </c>
    </row>
    <row r="176" spans="1:19">
      <c r="A176" s="46" t="s">
        <v>565</v>
      </c>
      <c r="C176" s="47">
        <v>357935.14289738057</v>
      </c>
      <c r="D176" s="47">
        <v>592531.21091365721</v>
      </c>
      <c r="E176" s="47">
        <v>5011.0920005633279</v>
      </c>
      <c r="F176" s="47">
        <v>8295.4369527912004</v>
      </c>
      <c r="H176" s="47">
        <v>7965.0283569093599</v>
      </c>
      <c r="I176" s="47">
        <v>21596.452726116659</v>
      </c>
      <c r="J176" s="47">
        <v>24483.107298419378</v>
      </c>
      <c r="K176" s="47">
        <v>24382.876236881086</v>
      </c>
      <c r="L176" s="47">
        <v>24182.414113804509</v>
      </c>
      <c r="M176" s="47">
        <v>24202.46032611217</v>
      </c>
      <c r="N176" s="47">
        <v>23961.905778420274</v>
      </c>
      <c r="O176" s="47">
        <v>22879.410313806751</v>
      </c>
      <c r="P176" s="47">
        <v>22117.654246115755</v>
      </c>
      <c r="Q176" s="47">
        <v>18970.398913813482</v>
      </c>
      <c r="R176" s="47">
        <v>13678.198864591828</v>
      </c>
      <c r="S176" s="47">
        <v>22759.133039960805</v>
      </c>
    </row>
    <row r="177" spans="1:19">
      <c r="A177" s="46" t="s">
        <v>566</v>
      </c>
      <c r="C177" s="47">
        <v>734078.71794506442</v>
      </c>
      <c r="D177" s="47">
        <v>1203711.3153423856</v>
      </c>
      <c r="E177" s="47">
        <v>10277.102051230902</v>
      </c>
      <c r="F177" s="47">
        <v>16851.958414793397</v>
      </c>
      <c r="H177" s="47">
        <v>26171.403076024955</v>
      </c>
      <c r="I177" s="47">
        <v>42144.318368616114</v>
      </c>
      <c r="J177" s="47">
        <v>46542.657362228158</v>
      </c>
      <c r="K177" s="47">
        <v>46696.985046214555</v>
      </c>
      <c r="L177" s="47">
        <v>46658.403125217956</v>
      </c>
      <c r="M177" s="47">
        <v>46735.566967211147</v>
      </c>
      <c r="N177" s="47">
        <v>46658.403125217956</v>
      </c>
      <c r="O177" s="47">
        <v>45809.600863292828</v>
      </c>
      <c r="P177" s="47">
        <v>42723.047183565061</v>
      </c>
      <c r="Q177" s="47">
        <v>35083.826826238859</v>
      </c>
      <c r="R177" s="47">
        <v>17143.23356282126</v>
      </c>
      <c r="S177" s="47">
        <v>37244.414402048293</v>
      </c>
    </row>
    <row r="178" spans="1:19">
      <c r="A178" s="46" t="s">
        <v>567</v>
      </c>
      <c r="C178" s="47">
        <v>1043057.2678529964</v>
      </c>
      <c r="D178" s="47">
        <v>1703333.7001817643</v>
      </c>
      <c r="E178" s="47">
        <v>14602.801749941949</v>
      </c>
      <c r="F178" s="47">
        <v>23846.671802544701</v>
      </c>
      <c r="H178" s="47">
        <v>39520.422297035897</v>
      </c>
      <c r="I178" s="47">
        <v>60768.167553383035</v>
      </c>
      <c r="J178" s="47">
        <v>66871.855892604697</v>
      </c>
      <c r="K178" s="47">
        <v>66987.01982353341</v>
      </c>
      <c r="L178" s="47">
        <v>67044.601788997767</v>
      </c>
      <c r="M178" s="47">
        <v>67102.183754462123</v>
      </c>
      <c r="N178" s="47">
        <v>66929.437858069054</v>
      </c>
      <c r="O178" s="47">
        <v>65259.560859602752</v>
      </c>
      <c r="P178" s="47">
        <v>61113.659346169166</v>
      </c>
      <c r="Q178" s="47">
        <v>52303.618630122801</v>
      </c>
      <c r="R178" s="47">
        <v>30825.545511918237</v>
      </c>
      <c r="S178" s="47">
        <v>55528.20869612669</v>
      </c>
    </row>
    <row r="179" spans="1:19">
      <c r="A179" s="46" t="s">
        <v>568</v>
      </c>
      <c r="C179" s="47">
        <v>259214.79150137986</v>
      </c>
      <c r="D179" s="47">
        <v>425402.44441692124</v>
      </c>
      <c r="E179" s="47">
        <v>3629.0070810193183</v>
      </c>
      <c r="F179" s="47">
        <v>5955.6342218368973</v>
      </c>
      <c r="H179" s="47">
        <v>8070.5584404515239</v>
      </c>
      <c r="I179" s="47">
        <v>15172.460861996396</v>
      </c>
      <c r="J179" s="47">
        <v>17001.094419639685</v>
      </c>
      <c r="K179" s="47">
        <v>17398.00712982583</v>
      </c>
      <c r="L179" s="47">
        <v>17497.235307372361</v>
      </c>
      <c r="M179" s="47">
        <v>17483.059853437142</v>
      </c>
      <c r="N179" s="47">
        <v>17213.726228667976</v>
      </c>
      <c r="O179" s="47">
        <v>16703.409887000082</v>
      </c>
      <c r="P179" s="47">
        <v>15682.777203664289</v>
      </c>
      <c r="Q179" s="47">
        <v>11855.404641155077</v>
      </c>
      <c r="R179" s="47">
        <v>6752.241224476129</v>
      </c>
      <c r="S179" s="47">
        <v>13754.915468474464</v>
      </c>
    </row>
    <row r="180" spans="1:19">
      <c r="A180" s="46" t="s">
        <v>569</v>
      </c>
      <c r="C180" s="47">
        <v>26234.797775504983</v>
      </c>
      <c r="D180" s="47">
        <v>42164.358666217369</v>
      </c>
      <c r="E180" s="47">
        <v>367.28716885706979</v>
      </c>
      <c r="F180" s="47">
        <v>590.30102132704314</v>
      </c>
      <c r="H180" s="47">
        <v>1517.9839740922516</v>
      </c>
      <c r="I180" s="47">
        <v>1517.9839740922516</v>
      </c>
      <c r="J180" s="47">
        <v>1517.9839740922516</v>
      </c>
      <c r="K180" s="47">
        <v>1517.9839740922516</v>
      </c>
      <c r="L180" s="47">
        <v>1517.9839740922516</v>
      </c>
      <c r="M180" s="47">
        <v>1517.9839740922516</v>
      </c>
      <c r="N180" s="47">
        <v>1517.9839740922516</v>
      </c>
      <c r="O180" s="47">
        <v>1517.9839740922516</v>
      </c>
      <c r="P180" s="47">
        <v>1517.9839740922516</v>
      </c>
      <c r="Q180" s="47">
        <v>1517.9839740922516</v>
      </c>
      <c r="R180" s="47">
        <v>1517.9839740922516</v>
      </c>
      <c r="S180" s="47">
        <v>1517.9839740922516</v>
      </c>
    </row>
    <row r="181" spans="1:19">
      <c r="A181" s="46" t="s">
        <v>570</v>
      </c>
      <c r="C181" s="47">
        <v>64217.716207949619</v>
      </c>
      <c r="D181" s="47">
        <v>104278.06874530866</v>
      </c>
      <c r="E181" s="47">
        <v>899.04802691129464</v>
      </c>
      <c r="F181" s="47">
        <v>1459.8929624343211</v>
      </c>
      <c r="H181" s="47">
        <v>2422.9414093421519</v>
      </c>
      <c r="I181" s="47">
        <v>3657.1094574262684</v>
      </c>
      <c r="J181" s="47">
        <v>4423.14479761641</v>
      </c>
      <c r="K181" s="47">
        <v>4499.7483316354246</v>
      </c>
      <c r="L181" s="47">
        <v>4533.7943467549867</v>
      </c>
      <c r="M181" s="47">
        <v>4661.4669034533435</v>
      </c>
      <c r="N181" s="47">
        <v>4546.561602424822</v>
      </c>
      <c r="O181" s="47">
        <v>4410.3775419465746</v>
      </c>
      <c r="P181" s="47">
        <v>4146.5209247699695</v>
      </c>
      <c r="Q181" s="47">
        <v>3665.6209612061589</v>
      </c>
      <c r="R181" s="47">
        <v>2908.0971247959078</v>
      </c>
      <c r="S181" s="47">
        <v>3912.4545708229825</v>
      </c>
    </row>
    <row r="182" spans="1:19">
      <c r="A182" s="46" t="s">
        <v>571</v>
      </c>
      <c r="C182" s="47">
        <v>189044.24903932324</v>
      </c>
      <c r="D182" s="47">
        <v>311001.12022995023</v>
      </c>
      <c r="E182" s="47">
        <v>2646.6194865505254</v>
      </c>
      <c r="F182" s="47">
        <v>4354.0156832193034</v>
      </c>
      <c r="H182" s="47">
        <v>6522.4218686067661</v>
      </c>
      <c r="I182" s="47">
        <v>10366.787833303808</v>
      </c>
      <c r="J182" s="47">
        <v>12249.970001517719</v>
      </c>
      <c r="K182" s="47">
        <v>13041.129373962618</v>
      </c>
      <c r="L182" s="47">
        <v>13130.274091984578</v>
      </c>
      <c r="M182" s="47">
        <v>13341.992797286735</v>
      </c>
      <c r="N182" s="47">
        <v>13074.558643220851</v>
      </c>
      <c r="O182" s="47">
        <v>12651.121232616541</v>
      </c>
      <c r="P182" s="47">
        <v>11614.813885611251</v>
      </c>
      <c r="Q182" s="47">
        <v>10110.49676899067</v>
      </c>
      <c r="R182" s="47">
        <v>7269.0088820406845</v>
      </c>
      <c r="S182" s="47">
        <v>11113.374846737725</v>
      </c>
    </row>
    <row r="183" spans="1:19">
      <c r="A183" s="46" t="s">
        <v>572</v>
      </c>
      <c r="C183" s="47">
        <v>47445.646474076944</v>
      </c>
      <c r="D183" s="47">
        <v>77386.01099568537</v>
      </c>
      <c r="E183" s="47">
        <v>664.23905063707718</v>
      </c>
      <c r="F183" s="47">
        <v>1083.4041539395953</v>
      </c>
      <c r="H183" s="47">
        <v>1710.8313947543215</v>
      </c>
      <c r="I183" s="47">
        <v>2771.8758655394536</v>
      </c>
      <c r="J183" s="47">
        <v>3072.9163898087236</v>
      </c>
      <c r="K183" s="47">
        <v>3132.1374765502192</v>
      </c>
      <c r="L183" s="47">
        <v>3154.3453840782799</v>
      </c>
      <c r="M183" s="47">
        <v>3156.812929359176</v>
      </c>
      <c r="N183" s="47">
        <v>3114.8646595839496</v>
      </c>
      <c r="O183" s="47">
        <v>3008.7602125054364</v>
      </c>
      <c r="P183" s="47">
        <v>2660.8363278991492</v>
      </c>
      <c r="Q183" s="47">
        <v>2253.6913565513655</v>
      </c>
      <c r="R183" s="47">
        <v>1481.3496836310255</v>
      </c>
      <c r="S183" s="47">
        <v>2687.9793259890012</v>
      </c>
    </row>
    <row r="184" spans="1:19">
      <c r="A184" s="46" t="s">
        <v>573</v>
      </c>
      <c r="C184" s="47">
        <v>25887.821882868</v>
      </c>
      <c r="D184" s="47">
        <v>41975.238129471589</v>
      </c>
      <c r="E184" s="47">
        <v>362.429506360152</v>
      </c>
      <c r="F184" s="47">
        <v>587.65333381260223</v>
      </c>
      <c r="H184" s="47">
        <v>1114.2901473875495</v>
      </c>
      <c r="I184" s="47">
        <v>1486.9237935651097</v>
      </c>
      <c r="J184" s="47">
        <v>1684.0729900892843</v>
      </c>
      <c r="K184" s="47">
        <v>1805.395572565699</v>
      </c>
      <c r="L184" s="47">
        <v>1751.2337053887281</v>
      </c>
      <c r="M184" s="47">
        <v>1757.7331294499645</v>
      </c>
      <c r="N184" s="47">
        <v>1705.7377369600727</v>
      </c>
      <c r="O184" s="47">
        <v>1616.91227478984</v>
      </c>
      <c r="P184" s="47">
        <v>1571.4163063611845</v>
      </c>
      <c r="Q184" s="47">
        <v>1400.2648060819563</v>
      </c>
      <c r="R184" s="47">
        <v>1099.1248245779975</v>
      </c>
      <c r="S184" s="47">
        <v>1506.4220657488195</v>
      </c>
    </row>
    <row r="185" spans="1:19">
      <c r="A185" s="46" t="s">
        <v>359</v>
      </c>
      <c r="C185" s="47">
        <v>29341.677022191448</v>
      </c>
      <c r="D185" s="47">
        <v>47985.510045845615</v>
      </c>
      <c r="E185" s="47">
        <v>410.78347831068027</v>
      </c>
      <c r="F185" s="47">
        <v>671.79714064183861</v>
      </c>
      <c r="H185" s="47">
        <v>1177.1056578231119</v>
      </c>
      <c r="I185" s="47">
        <v>1567.3382901662123</v>
      </c>
      <c r="J185" s="47">
        <v>1874.9108082691484</v>
      </c>
      <c r="K185" s="47">
        <v>2072.9106167979135</v>
      </c>
      <c r="L185" s="47">
        <v>2190.1726393246577</v>
      </c>
      <c r="M185" s="47">
        <v>2132.5027921803576</v>
      </c>
      <c r="N185" s="47">
        <v>2222.8522193730946</v>
      </c>
      <c r="O185" s="47">
        <v>2163.2600439906514</v>
      </c>
      <c r="P185" s="47">
        <v>2101.7455403700637</v>
      </c>
      <c r="Q185" s="47">
        <v>2057.5319908927668</v>
      </c>
      <c r="R185" s="47">
        <v>1607.7071831672226</v>
      </c>
      <c r="S185" s="47">
        <v>1784.561381076411</v>
      </c>
    </row>
    <row r="186" spans="1:19">
      <c r="A186" s="46" t="s">
        <v>362</v>
      </c>
      <c r="C186" s="47">
        <v>29691.179114857707</v>
      </c>
      <c r="D186" s="47">
        <v>47685.982854012422</v>
      </c>
      <c r="E186" s="47">
        <v>415.67650760800791</v>
      </c>
      <c r="F186" s="47">
        <v>667.60375995617392</v>
      </c>
      <c r="H186" s="47">
        <v>1375.4417049445801</v>
      </c>
      <c r="I186" s="47">
        <v>1791.2156193366945</v>
      </c>
      <c r="J186" s="47">
        <v>1998.1786345007692</v>
      </c>
      <c r="K186" s="47">
        <v>2064.7024608035076</v>
      </c>
      <c r="L186" s="47">
        <v>2096.1164898909115</v>
      </c>
      <c r="M186" s="47">
        <v>2090.5728376990169</v>
      </c>
      <c r="N186" s="47">
        <v>2101.6601420828065</v>
      </c>
      <c r="O186" s="47">
        <v>2085.0291855071218</v>
      </c>
      <c r="P186" s="47">
        <v>1996.3307504368045</v>
      </c>
      <c r="Q186" s="47">
        <v>1868.8267500232225</v>
      </c>
      <c r="R186" s="47">
        <v>1490.0105169104072</v>
      </c>
      <c r="S186" s="47">
        <v>1831.8690687439237</v>
      </c>
    </row>
    <row r="187" spans="1:19">
      <c r="I187" s="47"/>
      <c r="J187" s="47"/>
      <c r="K187" s="47"/>
      <c r="L187" s="47"/>
      <c r="M187" s="47"/>
      <c r="N187" s="47"/>
      <c r="O187" s="47"/>
      <c r="P187" s="47"/>
      <c r="Q187" s="47"/>
      <c r="R187" s="47"/>
      <c r="S187" s="47"/>
    </row>
    <row r="188" spans="1:19">
      <c r="I188" s="47"/>
      <c r="J188" s="47"/>
      <c r="K188" s="47"/>
      <c r="L188" s="47"/>
      <c r="M188" s="47"/>
      <c r="N188" s="47"/>
      <c r="O188" s="47"/>
      <c r="P188" s="47"/>
      <c r="Q188" s="47"/>
      <c r="R188" s="47"/>
      <c r="S188" s="47"/>
    </row>
    <row r="189" spans="1:19">
      <c r="I189" s="47"/>
      <c r="J189" s="47"/>
      <c r="K189" s="47"/>
      <c r="L189" s="47"/>
      <c r="M189" s="47"/>
      <c r="N189" s="47"/>
      <c r="O189" s="47"/>
      <c r="P189" s="47"/>
      <c r="Q189" s="47"/>
      <c r="R189" s="47"/>
      <c r="S189" s="47"/>
    </row>
    <row r="190" spans="1:19">
      <c r="I190" s="47"/>
      <c r="J190" s="47"/>
      <c r="K190" s="47"/>
      <c r="L190" s="47"/>
      <c r="M190" s="47"/>
      <c r="N190" s="47"/>
      <c r="O190" s="47"/>
      <c r="P190" s="47"/>
      <c r="Q190" s="47"/>
      <c r="R190" s="47"/>
      <c r="S190" s="47"/>
    </row>
    <row r="191" spans="1:19">
      <c r="I191" s="47"/>
      <c r="J191" s="47"/>
      <c r="K191" s="47"/>
      <c r="L191" s="47"/>
      <c r="M191" s="47"/>
      <c r="N191" s="47"/>
      <c r="O191" s="47"/>
      <c r="P191" s="47"/>
      <c r="Q191" s="47"/>
      <c r="R191" s="47"/>
      <c r="S191" s="47"/>
    </row>
  </sheetData>
  <autoFilter ref="A1:S273" xr:uid="{00000000-0001-0000-0900-000000000000}">
    <sortState xmlns:xlrd2="http://schemas.microsoft.com/office/spreadsheetml/2017/richdata2" ref="A2:S273">
      <sortCondition ref="A1:A273"/>
    </sortState>
  </autoFilter>
  <pageMargins left="0.7" right="0.7" top="0.75" bottom="0.75" header="0.3" footer="0.3"/>
  <pageSetup orientation="portrait" horizontalDpi="4294967293" verticalDpi="4294967293"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80"/>
  <sheetViews>
    <sheetView zoomScale="85" zoomScaleNormal="85" workbookViewId="0">
      <selection activeCell="E14" sqref="E14"/>
    </sheetView>
  </sheetViews>
  <sheetFormatPr defaultColWidth="17.36328125" defaultRowHeight="15.5"/>
  <cols>
    <col min="1" max="4" width="17.36328125" style="18"/>
    <col min="5" max="5" width="33.26953125" style="18" customWidth="1"/>
    <col min="6" max="6" width="17.36328125" style="18"/>
    <col min="7" max="7" width="20.81640625" style="18" customWidth="1"/>
    <col min="8" max="8" width="28.81640625" style="18" bestFit="1" customWidth="1"/>
    <col min="9" max="16384" width="17.36328125" style="18"/>
  </cols>
  <sheetData>
    <row r="1" spans="1:10" ht="46.5">
      <c r="A1" s="22" t="s">
        <v>204</v>
      </c>
      <c r="B1" s="22" t="s">
        <v>104</v>
      </c>
      <c r="C1" s="21" t="s">
        <v>103</v>
      </c>
      <c r="D1" s="10" t="s">
        <v>297</v>
      </c>
      <c r="E1" s="22" t="s">
        <v>323</v>
      </c>
      <c r="F1" s="22" t="s">
        <v>325</v>
      </c>
      <c r="G1" s="17" t="s">
        <v>324</v>
      </c>
      <c r="H1" s="21" t="s">
        <v>291</v>
      </c>
      <c r="I1" s="21" t="s">
        <v>292</v>
      </c>
      <c r="J1" s="21" t="s">
        <v>294</v>
      </c>
    </row>
    <row r="2" spans="1:10">
      <c r="A2" s="11" t="s">
        <v>102</v>
      </c>
      <c r="B2" s="11" t="s">
        <v>101</v>
      </c>
      <c r="C2" s="11" t="s">
        <v>203</v>
      </c>
      <c r="D2" s="23">
        <v>0.54</v>
      </c>
      <c r="E2" s="4" t="s">
        <v>298</v>
      </c>
      <c r="F2" s="20">
        <f>D2/70/1000</f>
        <v>7.7142857142857157E-6</v>
      </c>
      <c r="G2" s="20">
        <f>(D2/70)</f>
        <v>7.7142857142857152E-3</v>
      </c>
      <c r="H2" s="18">
        <v>0.3</v>
      </c>
      <c r="I2" s="18">
        <v>0.5</v>
      </c>
      <c r="J2" s="19">
        <f>((H2*0.6)+(I2*0.4))</f>
        <v>0.38</v>
      </c>
    </row>
    <row r="3" spans="1:10">
      <c r="A3" s="11" t="s">
        <v>100</v>
      </c>
      <c r="B3" s="11" t="s">
        <v>99</v>
      </c>
      <c r="C3" s="11" t="s">
        <v>60</v>
      </c>
      <c r="D3" s="23">
        <v>17</v>
      </c>
      <c r="E3" s="4" t="s">
        <v>298</v>
      </c>
      <c r="F3" s="20">
        <f t="shared" ref="F3:F66" si="0">D3/70/1000</f>
        <v>2.4285714285714286E-4</v>
      </c>
      <c r="G3" s="20">
        <f>(D3/70)</f>
        <v>0.24285714285714285</v>
      </c>
      <c r="H3" s="18">
        <v>0.3</v>
      </c>
      <c r="I3" s="18">
        <v>0.5</v>
      </c>
      <c r="J3" s="19">
        <f t="shared" ref="J3:J66" si="1">((H3*0.6)+(I3*0.4))</f>
        <v>0.38</v>
      </c>
    </row>
    <row r="4" spans="1:10">
      <c r="A4" s="11" t="s">
        <v>202</v>
      </c>
      <c r="B4" s="11" t="s">
        <v>201</v>
      </c>
      <c r="C4" s="11" t="s">
        <v>200</v>
      </c>
      <c r="D4" s="23">
        <v>5.7000000000000002E-3</v>
      </c>
      <c r="E4" s="4" t="s">
        <v>298</v>
      </c>
      <c r="F4" s="20">
        <f t="shared" si="0"/>
        <v>8.1428571428571434E-8</v>
      </c>
      <c r="G4" s="20">
        <f t="shared" ref="G4:G66" si="2">(D4/70)</f>
        <v>8.1428571428571433E-5</v>
      </c>
      <c r="H4" s="18">
        <v>0.3</v>
      </c>
      <c r="I4" s="18">
        <v>0.5</v>
      </c>
      <c r="J4" s="19">
        <f t="shared" si="1"/>
        <v>0.38</v>
      </c>
    </row>
    <row r="5" spans="1:10">
      <c r="A5" s="11" t="s">
        <v>98</v>
      </c>
      <c r="B5" s="11" t="s">
        <v>97</v>
      </c>
      <c r="C5" s="11" t="s">
        <v>96</v>
      </c>
      <c r="D5" s="23">
        <v>2.5000000000000001E-2</v>
      </c>
      <c r="E5" s="4" t="s">
        <v>298</v>
      </c>
      <c r="F5" s="20">
        <f t="shared" si="0"/>
        <v>3.5714285714285716E-7</v>
      </c>
      <c r="G5" s="20">
        <f t="shared" si="2"/>
        <v>3.5714285714285714E-4</v>
      </c>
      <c r="H5" s="18">
        <v>0.3</v>
      </c>
      <c r="I5" s="18">
        <v>0.5</v>
      </c>
      <c r="J5" s="19">
        <f t="shared" si="1"/>
        <v>0.38</v>
      </c>
    </row>
    <row r="6" spans="1:10">
      <c r="A6" s="11" t="s">
        <v>95</v>
      </c>
      <c r="B6" s="11" t="s">
        <v>94</v>
      </c>
      <c r="C6" s="11" t="s">
        <v>199</v>
      </c>
      <c r="D6" s="23">
        <v>1.5</v>
      </c>
      <c r="E6" s="4" t="s">
        <v>299</v>
      </c>
      <c r="F6" s="20">
        <f t="shared" si="0"/>
        <v>2.1428571428571428E-5</v>
      </c>
      <c r="G6" s="20">
        <f t="shared" si="2"/>
        <v>2.1428571428571429E-2</v>
      </c>
      <c r="H6" s="18">
        <v>0.3</v>
      </c>
      <c r="I6" s="18">
        <v>0.5</v>
      </c>
      <c r="J6" s="19">
        <f t="shared" si="1"/>
        <v>0.38</v>
      </c>
    </row>
    <row r="7" spans="1:10">
      <c r="A7" s="11" t="s">
        <v>93</v>
      </c>
      <c r="B7" s="11" t="s">
        <v>92</v>
      </c>
      <c r="C7" s="11" t="s">
        <v>91</v>
      </c>
      <c r="D7" s="23">
        <v>0.11</v>
      </c>
      <c r="E7" s="4" t="s">
        <v>298</v>
      </c>
      <c r="F7" s="20">
        <f t="shared" si="0"/>
        <v>1.5714285714285714E-6</v>
      </c>
      <c r="G7" s="20">
        <f t="shared" si="2"/>
        <v>1.5714285714285715E-3</v>
      </c>
      <c r="H7" s="18">
        <v>0.3</v>
      </c>
      <c r="I7" s="18">
        <v>0.5</v>
      </c>
      <c r="J7" s="19">
        <f t="shared" si="1"/>
        <v>0.38</v>
      </c>
    </row>
    <row r="8" spans="1:10">
      <c r="A8" s="11" t="s">
        <v>90</v>
      </c>
      <c r="B8" s="11" t="s">
        <v>89</v>
      </c>
      <c r="C8" s="11" t="s">
        <v>2</v>
      </c>
      <c r="D8" s="23">
        <v>5.5E-2</v>
      </c>
      <c r="E8" s="4" t="s">
        <v>300</v>
      </c>
      <c r="F8" s="20">
        <f t="shared" si="0"/>
        <v>7.8571428571428572E-7</v>
      </c>
      <c r="G8" s="20">
        <f t="shared" si="2"/>
        <v>7.8571428571428575E-4</v>
      </c>
      <c r="H8" s="18">
        <v>0.3</v>
      </c>
      <c r="I8" s="18">
        <v>0.5</v>
      </c>
      <c r="J8" s="19">
        <f t="shared" si="1"/>
        <v>0.38</v>
      </c>
    </row>
    <row r="9" spans="1:10">
      <c r="A9" s="11" t="s">
        <v>90</v>
      </c>
      <c r="B9" s="11" t="s">
        <v>89</v>
      </c>
      <c r="C9" s="11" t="s">
        <v>2</v>
      </c>
      <c r="D9" s="23">
        <v>1.4999999999999999E-2</v>
      </c>
      <c r="E9" s="4" t="s">
        <v>300</v>
      </c>
      <c r="F9" s="20">
        <f t="shared" si="0"/>
        <v>2.1428571428571428E-7</v>
      </c>
      <c r="G9" s="20">
        <f t="shared" si="2"/>
        <v>2.1428571428571427E-4</v>
      </c>
      <c r="H9" s="18">
        <v>0.3</v>
      </c>
      <c r="I9" s="18">
        <v>0.5</v>
      </c>
      <c r="J9" s="19">
        <f t="shared" si="1"/>
        <v>0.38</v>
      </c>
    </row>
    <row r="10" spans="1:10">
      <c r="A10" s="11" t="s">
        <v>88</v>
      </c>
      <c r="B10" s="11" t="s">
        <v>87</v>
      </c>
      <c r="C10" s="11" t="s">
        <v>86</v>
      </c>
      <c r="D10" s="23">
        <v>230</v>
      </c>
      <c r="E10" s="4" t="s">
        <v>301</v>
      </c>
      <c r="F10" s="20">
        <f t="shared" si="0"/>
        <v>3.2857142857142855E-3</v>
      </c>
      <c r="G10" s="20">
        <f t="shared" si="2"/>
        <v>3.2857142857142856</v>
      </c>
      <c r="H10" s="18">
        <v>0.3</v>
      </c>
      <c r="I10" s="18">
        <v>0.5</v>
      </c>
      <c r="J10" s="19">
        <f t="shared" si="1"/>
        <v>0.38</v>
      </c>
    </row>
    <row r="11" spans="1:10">
      <c r="A11" s="11" t="s">
        <v>198</v>
      </c>
      <c r="B11" s="11" t="s">
        <v>197</v>
      </c>
      <c r="C11" s="11" t="s">
        <v>196</v>
      </c>
      <c r="D11" s="23">
        <v>13</v>
      </c>
      <c r="E11" s="4" t="s">
        <v>298</v>
      </c>
      <c r="F11" s="20">
        <f t="shared" si="0"/>
        <v>1.8571428571428572E-4</v>
      </c>
      <c r="G11" s="20">
        <f t="shared" si="2"/>
        <v>0.18571428571428572</v>
      </c>
      <c r="H11" s="18">
        <v>0.3</v>
      </c>
      <c r="I11" s="18">
        <v>0.5</v>
      </c>
      <c r="J11" s="19">
        <f t="shared" si="1"/>
        <v>0.38</v>
      </c>
    </row>
    <row r="12" spans="1:10">
      <c r="A12" s="11" t="s">
        <v>195</v>
      </c>
      <c r="B12" s="11" t="s">
        <v>194</v>
      </c>
      <c r="C12" s="11" t="s">
        <v>193</v>
      </c>
      <c r="D12" s="23">
        <v>0.17</v>
      </c>
      <c r="E12" s="4" t="s">
        <v>298</v>
      </c>
      <c r="F12" s="20">
        <f t="shared" si="0"/>
        <v>2.4285714285714288E-6</v>
      </c>
      <c r="G12" s="20">
        <f t="shared" si="2"/>
        <v>2.4285714285714288E-3</v>
      </c>
      <c r="H12" s="18">
        <v>0.3</v>
      </c>
      <c r="I12" s="18">
        <v>0.5</v>
      </c>
      <c r="J12" s="19">
        <f t="shared" si="1"/>
        <v>0.38</v>
      </c>
    </row>
    <row r="13" spans="1:10">
      <c r="A13" s="11" t="s">
        <v>192</v>
      </c>
      <c r="B13" s="11" t="s">
        <v>191</v>
      </c>
      <c r="C13" s="11" t="s">
        <v>190</v>
      </c>
      <c r="D13" s="23">
        <v>8.0000000000000002E-3</v>
      </c>
      <c r="E13" s="4" t="s">
        <v>302</v>
      </c>
      <c r="F13" s="20">
        <f t="shared" si="0"/>
        <v>1.1428571428571429E-7</v>
      </c>
      <c r="G13" s="20">
        <f t="shared" si="2"/>
        <v>1.1428571428571428E-4</v>
      </c>
      <c r="H13" s="18">
        <v>0.3</v>
      </c>
      <c r="I13" s="18">
        <v>0.5</v>
      </c>
      <c r="J13" s="19">
        <f t="shared" si="1"/>
        <v>0.38</v>
      </c>
    </row>
    <row r="14" spans="1:10">
      <c r="A14" s="11" t="s">
        <v>85</v>
      </c>
      <c r="B14" s="11" t="s">
        <v>84</v>
      </c>
      <c r="C14" s="11" t="s">
        <v>83</v>
      </c>
      <c r="D14" s="23">
        <v>1.1000000000000001</v>
      </c>
      <c r="E14" s="4" t="s">
        <v>298</v>
      </c>
      <c r="F14" s="20">
        <f t="shared" si="0"/>
        <v>1.5714285714285715E-5</v>
      </c>
      <c r="G14" s="20">
        <f t="shared" si="2"/>
        <v>1.5714285714285715E-2</v>
      </c>
      <c r="H14" s="18">
        <v>0.3</v>
      </c>
      <c r="I14" s="18">
        <v>0.5</v>
      </c>
      <c r="J14" s="19">
        <f t="shared" si="1"/>
        <v>0.38</v>
      </c>
    </row>
    <row r="15" spans="1:10">
      <c r="A15" s="11" t="s">
        <v>82</v>
      </c>
      <c r="B15" s="11" t="s">
        <v>81</v>
      </c>
      <c r="C15" s="11" t="s">
        <v>80</v>
      </c>
      <c r="D15" s="23">
        <v>220</v>
      </c>
      <c r="E15" s="4" t="s">
        <v>298</v>
      </c>
      <c r="F15" s="20">
        <f t="shared" si="0"/>
        <v>3.142857142857143E-3</v>
      </c>
      <c r="G15" s="20">
        <f t="shared" si="2"/>
        <v>3.1428571428571428</v>
      </c>
      <c r="H15" s="18">
        <v>0.3</v>
      </c>
      <c r="I15" s="18">
        <v>0.5</v>
      </c>
      <c r="J15" s="19">
        <f t="shared" si="1"/>
        <v>0.38</v>
      </c>
    </row>
    <row r="16" spans="1:10">
      <c r="A16" s="11" t="s">
        <v>189</v>
      </c>
      <c r="B16" s="11" t="s">
        <v>188</v>
      </c>
      <c r="C16" s="11" t="s">
        <v>187</v>
      </c>
      <c r="D16" s="23">
        <v>0.7</v>
      </c>
      <c r="E16" s="4" t="s">
        <v>303</v>
      </c>
      <c r="F16" s="20">
        <f t="shared" si="0"/>
        <v>1.0000000000000001E-5</v>
      </c>
      <c r="G16" s="20">
        <f t="shared" si="2"/>
        <v>0.01</v>
      </c>
      <c r="H16" s="18">
        <v>0.3</v>
      </c>
      <c r="I16" s="18">
        <v>0.5</v>
      </c>
      <c r="J16" s="19">
        <f t="shared" si="1"/>
        <v>0.38</v>
      </c>
    </row>
    <row r="17" spans="1:10">
      <c r="A17" s="11" t="s">
        <v>186</v>
      </c>
      <c r="B17" s="11" t="s">
        <v>185</v>
      </c>
      <c r="C17" s="11" t="s">
        <v>184</v>
      </c>
      <c r="D17" s="23">
        <v>6.2E-2</v>
      </c>
      <c r="E17" s="4" t="s">
        <v>298</v>
      </c>
      <c r="F17" s="20">
        <f t="shared" si="0"/>
        <v>8.8571428571428572E-7</v>
      </c>
      <c r="G17" s="20">
        <f t="shared" si="2"/>
        <v>8.8571428571428568E-4</v>
      </c>
      <c r="H17" s="18">
        <v>0.3</v>
      </c>
      <c r="I17" s="18">
        <v>0.5</v>
      </c>
      <c r="J17" s="19">
        <f t="shared" si="1"/>
        <v>0.38</v>
      </c>
    </row>
    <row r="18" spans="1:10">
      <c r="A18" s="11" t="s">
        <v>79</v>
      </c>
      <c r="B18" s="11" t="s">
        <v>78</v>
      </c>
      <c r="C18" s="11" t="s">
        <v>77</v>
      </c>
      <c r="D18" s="23">
        <v>7.9000000000000008E-3</v>
      </c>
      <c r="E18" s="4" t="s">
        <v>298</v>
      </c>
      <c r="F18" s="20">
        <f t="shared" si="0"/>
        <v>1.1285714285714287E-7</v>
      </c>
      <c r="G18" s="20">
        <f t="shared" si="2"/>
        <v>1.1285714285714287E-4</v>
      </c>
      <c r="H18" s="18">
        <v>0.3</v>
      </c>
      <c r="I18" s="18">
        <v>0.5</v>
      </c>
      <c r="J18" s="19">
        <f t="shared" si="1"/>
        <v>0.38</v>
      </c>
    </row>
    <row r="19" spans="1:10" ht="16.5">
      <c r="A19" s="11" t="s">
        <v>76</v>
      </c>
      <c r="B19" s="11" t="s">
        <v>75</v>
      </c>
      <c r="C19" s="11" t="s">
        <v>14</v>
      </c>
      <c r="D19" s="23">
        <v>7.0000000000000007E-2</v>
      </c>
      <c r="E19" s="4" t="s">
        <v>321</v>
      </c>
      <c r="F19" s="20">
        <f t="shared" si="0"/>
        <v>9.9999999999999995E-7</v>
      </c>
      <c r="G19" s="20">
        <f t="shared" si="2"/>
        <v>1E-3</v>
      </c>
      <c r="H19" s="18">
        <v>0.3</v>
      </c>
      <c r="I19" s="18">
        <v>0.5</v>
      </c>
      <c r="J19" s="19">
        <f t="shared" si="1"/>
        <v>0.38</v>
      </c>
    </row>
    <row r="20" spans="1:10">
      <c r="A20" s="11" t="s">
        <v>74</v>
      </c>
      <c r="B20" s="11" t="s">
        <v>73</v>
      </c>
      <c r="C20" s="11" t="s">
        <v>5</v>
      </c>
      <c r="D20" s="23">
        <v>0.35</v>
      </c>
      <c r="E20" s="4" t="s">
        <v>298</v>
      </c>
      <c r="F20" s="20">
        <f t="shared" si="0"/>
        <v>5.0000000000000004E-6</v>
      </c>
      <c r="G20" s="20">
        <f t="shared" si="2"/>
        <v>5.0000000000000001E-3</v>
      </c>
      <c r="H20" s="18">
        <v>0.3</v>
      </c>
      <c r="I20" s="18">
        <v>0.5</v>
      </c>
      <c r="J20" s="19">
        <f t="shared" si="1"/>
        <v>0.38</v>
      </c>
    </row>
    <row r="21" spans="1:10">
      <c r="A21" s="11" t="s">
        <v>183</v>
      </c>
      <c r="B21" s="11" t="s">
        <v>182</v>
      </c>
      <c r="C21" s="11" t="s">
        <v>181</v>
      </c>
      <c r="D21" s="23">
        <v>10</v>
      </c>
      <c r="E21" s="4" t="s">
        <v>304</v>
      </c>
      <c r="F21" s="20">
        <f t="shared" si="0"/>
        <v>1.4285714285714284E-4</v>
      </c>
      <c r="G21" s="20">
        <f t="shared" si="2"/>
        <v>0.14285714285714285</v>
      </c>
      <c r="H21" s="18">
        <v>0.3</v>
      </c>
      <c r="I21" s="18">
        <v>0.5</v>
      </c>
      <c r="J21" s="19">
        <f t="shared" si="1"/>
        <v>0.38</v>
      </c>
    </row>
    <row r="22" spans="1:10">
      <c r="A22" s="11" t="s">
        <v>180</v>
      </c>
      <c r="B22" s="11" t="s">
        <v>179</v>
      </c>
      <c r="C22" s="11" t="s">
        <v>178</v>
      </c>
      <c r="D22" s="23">
        <v>6.9999999999999999E-4</v>
      </c>
      <c r="E22" s="4" t="s">
        <v>305</v>
      </c>
      <c r="F22" s="20">
        <f t="shared" si="0"/>
        <v>9.9999999999999986E-9</v>
      </c>
      <c r="G22" s="20">
        <f t="shared" si="2"/>
        <v>9.9999999999999991E-6</v>
      </c>
      <c r="H22" s="18">
        <v>0.3</v>
      </c>
      <c r="I22" s="18">
        <v>0.5</v>
      </c>
      <c r="J22" s="19">
        <f t="shared" si="1"/>
        <v>0.38</v>
      </c>
    </row>
    <row r="23" spans="1:10">
      <c r="A23" s="11" t="s">
        <v>177</v>
      </c>
      <c r="B23" s="11" t="s">
        <v>176</v>
      </c>
      <c r="C23" s="11" t="s">
        <v>19</v>
      </c>
      <c r="D23" s="23">
        <v>1.4E-2</v>
      </c>
      <c r="E23" s="4" t="s">
        <v>298</v>
      </c>
      <c r="F23" s="20">
        <f t="shared" si="0"/>
        <v>2.0000000000000002E-7</v>
      </c>
      <c r="G23" s="20">
        <f t="shared" si="2"/>
        <v>2.0000000000000001E-4</v>
      </c>
      <c r="H23" s="18">
        <v>0.3</v>
      </c>
      <c r="I23" s="18">
        <v>0.5</v>
      </c>
      <c r="J23" s="19">
        <f t="shared" si="1"/>
        <v>0.38</v>
      </c>
    </row>
    <row r="24" spans="1:10">
      <c r="A24" s="11" t="s">
        <v>175</v>
      </c>
      <c r="B24" s="11" t="s">
        <v>174</v>
      </c>
      <c r="C24" s="11" t="s">
        <v>173</v>
      </c>
      <c r="D24" s="23">
        <v>1.1999999999999999E-3</v>
      </c>
      <c r="E24" s="4" t="s">
        <v>298</v>
      </c>
      <c r="F24" s="20">
        <f t="shared" si="0"/>
        <v>1.7142857142857143E-8</v>
      </c>
      <c r="G24" s="20">
        <f t="shared" si="2"/>
        <v>1.7142857142857142E-5</v>
      </c>
      <c r="H24" s="18">
        <v>0.3</v>
      </c>
      <c r="I24" s="18">
        <v>0.5</v>
      </c>
      <c r="J24" s="19">
        <f t="shared" si="1"/>
        <v>0.38</v>
      </c>
    </row>
    <row r="25" spans="1:10">
      <c r="A25" s="11" t="s">
        <v>172</v>
      </c>
      <c r="B25" s="11" t="s">
        <v>171</v>
      </c>
      <c r="C25" s="11" t="s">
        <v>14</v>
      </c>
      <c r="D25" s="23">
        <v>8.4000000000000005E-2</v>
      </c>
      <c r="E25" s="4" t="s">
        <v>298</v>
      </c>
      <c r="F25" s="20">
        <f t="shared" si="0"/>
        <v>1.2000000000000002E-6</v>
      </c>
      <c r="G25" s="20">
        <f t="shared" si="2"/>
        <v>1.2000000000000001E-3</v>
      </c>
      <c r="H25" s="18">
        <v>0.3</v>
      </c>
      <c r="I25" s="18">
        <v>0.5</v>
      </c>
      <c r="J25" s="19">
        <f t="shared" si="1"/>
        <v>0.38</v>
      </c>
    </row>
    <row r="26" spans="1:10">
      <c r="A26" s="11" t="s">
        <v>72</v>
      </c>
      <c r="B26" s="11" t="s">
        <v>71</v>
      </c>
      <c r="C26" s="11" t="s">
        <v>170</v>
      </c>
      <c r="D26" s="23">
        <v>2</v>
      </c>
      <c r="E26" s="4" t="s">
        <v>306</v>
      </c>
      <c r="F26" s="20">
        <f t="shared" si="0"/>
        <v>2.8571428571428571E-5</v>
      </c>
      <c r="G26" s="20">
        <f t="shared" si="2"/>
        <v>2.8571428571428571E-2</v>
      </c>
      <c r="H26" s="18">
        <v>0.3</v>
      </c>
      <c r="I26" s="18">
        <v>0.5</v>
      </c>
      <c r="J26" s="19">
        <f t="shared" si="1"/>
        <v>0.38</v>
      </c>
    </row>
    <row r="27" spans="1:10">
      <c r="A27" s="11" t="s">
        <v>169</v>
      </c>
      <c r="B27" s="11" t="s">
        <v>168</v>
      </c>
      <c r="C27" s="11" t="s">
        <v>167</v>
      </c>
      <c r="D27" s="23">
        <v>0.05</v>
      </c>
      <c r="E27" s="4" t="s">
        <v>307</v>
      </c>
      <c r="F27" s="20">
        <f t="shared" si="0"/>
        <v>7.1428571428571431E-7</v>
      </c>
      <c r="G27" s="20">
        <f t="shared" si="2"/>
        <v>7.1428571428571429E-4</v>
      </c>
      <c r="H27" s="18">
        <v>0.3</v>
      </c>
      <c r="I27" s="18">
        <v>0.5</v>
      </c>
      <c r="J27" s="19">
        <f t="shared" si="1"/>
        <v>0.38</v>
      </c>
    </row>
    <row r="28" spans="1:10">
      <c r="A28" s="11" t="s">
        <v>166</v>
      </c>
      <c r="B28" s="11" t="s">
        <v>165</v>
      </c>
      <c r="C28" s="11" t="s">
        <v>164</v>
      </c>
      <c r="D28" s="23">
        <v>0.45</v>
      </c>
      <c r="E28" s="4" t="s">
        <v>298</v>
      </c>
      <c r="F28" s="20">
        <f t="shared" si="0"/>
        <v>6.4285714285714286E-6</v>
      </c>
      <c r="G28" s="20">
        <f t="shared" si="2"/>
        <v>6.4285714285714285E-3</v>
      </c>
      <c r="H28" s="18">
        <v>0.3</v>
      </c>
      <c r="I28" s="18">
        <v>0.5</v>
      </c>
      <c r="J28" s="19">
        <f t="shared" si="1"/>
        <v>0.38</v>
      </c>
    </row>
    <row r="29" spans="1:10">
      <c r="A29" s="11" t="s">
        <v>163</v>
      </c>
      <c r="B29" s="11" t="s">
        <v>162</v>
      </c>
      <c r="C29" s="11" t="s">
        <v>22</v>
      </c>
      <c r="D29" s="23">
        <v>0.24</v>
      </c>
      <c r="E29" s="4" t="s">
        <v>298</v>
      </c>
      <c r="F29" s="20">
        <f t="shared" si="0"/>
        <v>3.4285714285714285E-6</v>
      </c>
      <c r="G29" s="20">
        <f t="shared" si="2"/>
        <v>3.4285714285714284E-3</v>
      </c>
      <c r="H29" s="18">
        <v>0.3</v>
      </c>
      <c r="I29" s="18">
        <v>0.5</v>
      </c>
      <c r="J29" s="19">
        <f t="shared" si="1"/>
        <v>0.38</v>
      </c>
    </row>
    <row r="30" spans="1:10">
      <c r="A30" s="11" t="s">
        <v>161</v>
      </c>
      <c r="B30" s="11" t="s">
        <v>160</v>
      </c>
      <c r="C30" s="11" t="s">
        <v>159</v>
      </c>
      <c r="D30" s="23">
        <v>0.34</v>
      </c>
      <c r="E30" s="4" t="s">
        <v>298</v>
      </c>
      <c r="F30" s="20">
        <f t="shared" si="0"/>
        <v>4.8571428571428576E-6</v>
      </c>
      <c r="G30" s="20">
        <f t="shared" si="2"/>
        <v>4.8571428571428576E-3</v>
      </c>
      <c r="H30" s="18">
        <v>0.3</v>
      </c>
      <c r="I30" s="18">
        <v>0.5</v>
      </c>
      <c r="J30" s="19">
        <f t="shared" si="1"/>
        <v>0.38</v>
      </c>
    </row>
    <row r="31" spans="1:10">
      <c r="A31" s="11" t="s">
        <v>70</v>
      </c>
      <c r="B31" s="11" t="s">
        <v>69</v>
      </c>
      <c r="C31" s="11" t="s">
        <v>68</v>
      </c>
      <c r="D31" s="23">
        <v>0.34</v>
      </c>
      <c r="E31" s="4" t="s">
        <v>298</v>
      </c>
      <c r="F31" s="20">
        <f t="shared" si="0"/>
        <v>4.8571428571428576E-6</v>
      </c>
      <c r="G31" s="20">
        <f t="shared" si="2"/>
        <v>4.8571428571428576E-3</v>
      </c>
      <c r="H31" s="18">
        <v>0.3</v>
      </c>
      <c r="I31" s="18">
        <v>0.5</v>
      </c>
      <c r="J31" s="19">
        <f t="shared" si="1"/>
        <v>0.38</v>
      </c>
    </row>
    <row r="32" spans="1:10">
      <c r="A32" s="11" t="s">
        <v>67</v>
      </c>
      <c r="B32" s="11" t="s">
        <v>66</v>
      </c>
      <c r="C32" s="11" t="s">
        <v>65</v>
      </c>
      <c r="D32" s="23">
        <v>9.0999999999999998E-2</v>
      </c>
      <c r="E32" s="4" t="s">
        <v>308</v>
      </c>
      <c r="F32" s="20">
        <f t="shared" si="0"/>
        <v>1.2999999999999998E-6</v>
      </c>
      <c r="G32" s="20">
        <f t="shared" si="2"/>
        <v>1.2999999999999999E-3</v>
      </c>
      <c r="H32" s="18">
        <v>0.3</v>
      </c>
      <c r="I32" s="18">
        <v>0.5</v>
      </c>
      <c r="J32" s="19">
        <f t="shared" si="1"/>
        <v>0.38</v>
      </c>
    </row>
    <row r="33" spans="1:10">
      <c r="A33" s="11" t="s">
        <v>64</v>
      </c>
      <c r="B33" s="11" t="s">
        <v>63</v>
      </c>
      <c r="C33" s="11" t="s">
        <v>157</v>
      </c>
      <c r="D33" s="23">
        <v>0.05</v>
      </c>
      <c r="E33" s="4" t="s">
        <v>309</v>
      </c>
      <c r="F33" s="20">
        <f t="shared" si="0"/>
        <v>7.1428571428571431E-7</v>
      </c>
      <c r="G33" s="20">
        <f t="shared" si="2"/>
        <v>7.1428571428571429E-4</v>
      </c>
      <c r="H33" s="18">
        <v>0.3</v>
      </c>
      <c r="I33" s="18">
        <v>0.5</v>
      </c>
      <c r="J33" s="19">
        <f t="shared" si="1"/>
        <v>0.38</v>
      </c>
    </row>
    <row r="34" spans="1:10">
      <c r="A34" s="11" t="s">
        <v>64</v>
      </c>
      <c r="B34" s="11" t="s">
        <v>63</v>
      </c>
      <c r="C34" s="11" t="s">
        <v>158</v>
      </c>
      <c r="D34" s="23">
        <v>0.1</v>
      </c>
      <c r="E34" s="4" t="s">
        <v>309</v>
      </c>
      <c r="F34" s="20">
        <f t="shared" si="0"/>
        <v>1.4285714285714286E-6</v>
      </c>
      <c r="G34" s="20">
        <f t="shared" si="2"/>
        <v>1.4285714285714286E-3</v>
      </c>
      <c r="H34" s="18">
        <v>0.3</v>
      </c>
      <c r="I34" s="18">
        <v>0.5</v>
      </c>
      <c r="J34" s="19">
        <f t="shared" si="1"/>
        <v>0.38</v>
      </c>
    </row>
    <row r="35" spans="1:10">
      <c r="A35" s="11" t="s">
        <v>64</v>
      </c>
      <c r="B35" s="11" t="s">
        <v>63</v>
      </c>
      <c r="C35" s="11" t="s">
        <v>157</v>
      </c>
      <c r="D35" s="23">
        <v>0.05</v>
      </c>
      <c r="E35" s="4" t="s">
        <v>309</v>
      </c>
      <c r="F35" s="20">
        <f t="shared" si="0"/>
        <v>7.1428571428571431E-7</v>
      </c>
      <c r="G35" s="20">
        <f t="shared" si="2"/>
        <v>7.1428571428571429E-4</v>
      </c>
      <c r="H35" s="18">
        <v>0.3</v>
      </c>
      <c r="I35" s="18">
        <v>0.5</v>
      </c>
      <c r="J35" s="19">
        <f t="shared" si="1"/>
        <v>0.38</v>
      </c>
    </row>
    <row r="36" spans="1:10">
      <c r="A36" s="11" t="s">
        <v>156</v>
      </c>
      <c r="B36" s="11" t="s">
        <v>155</v>
      </c>
      <c r="C36" s="11" t="s">
        <v>154</v>
      </c>
      <c r="D36" s="23">
        <v>0.28999999999999998</v>
      </c>
      <c r="E36" s="4" t="s">
        <v>298</v>
      </c>
      <c r="F36" s="20">
        <f t="shared" si="0"/>
        <v>4.1428571428571426E-6</v>
      </c>
      <c r="G36" s="20">
        <f t="shared" si="2"/>
        <v>4.1428571428571426E-3</v>
      </c>
      <c r="H36" s="18">
        <v>0.3</v>
      </c>
      <c r="I36" s="18">
        <v>0.5</v>
      </c>
      <c r="J36" s="19">
        <f t="shared" si="1"/>
        <v>0.38</v>
      </c>
    </row>
    <row r="37" spans="1:10">
      <c r="A37" s="11" t="s">
        <v>62</v>
      </c>
      <c r="B37" s="11" t="s">
        <v>61</v>
      </c>
      <c r="C37" s="11" t="s">
        <v>60</v>
      </c>
      <c r="D37" s="23">
        <v>16</v>
      </c>
      <c r="E37" s="4" t="s">
        <v>298</v>
      </c>
      <c r="F37" s="20">
        <f t="shared" si="0"/>
        <v>2.2857142857142857E-4</v>
      </c>
      <c r="G37" s="20">
        <f t="shared" si="2"/>
        <v>0.22857142857142856</v>
      </c>
      <c r="H37" s="18">
        <v>0.3</v>
      </c>
      <c r="I37" s="18">
        <v>0.5</v>
      </c>
      <c r="J37" s="19">
        <f t="shared" si="1"/>
        <v>0.38</v>
      </c>
    </row>
    <row r="38" spans="1:10">
      <c r="A38" s="11" t="s">
        <v>153</v>
      </c>
      <c r="B38" s="11"/>
      <c r="C38" s="11" t="s">
        <v>152</v>
      </c>
      <c r="D38" s="23">
        <v>0.68</v>
      </c>
      <c r="E38" s="4" t="s">
        <v>310</v>
      </c>
      <c r="F38" s="20">
        <f t="shared" si="0"/>
        <v>9.7142857142857152E-6</v>
      </c>
      <c r="G38" s="20">
        <f t="shared" si="2"/>
        <v>9.7142857142857152E-3</v>
      </c>
      <c r="H38" s="18">
        <v>0.3</v>
      </c>
      <c r="I38" s="18">
        <v>0.5</v>
      </c>
      <c r="J38" s="19">
        <f t="shared" si="1"/>
        <v>0.38</v>
      </c>
    </row>
    <row r="39" spans="1:10" ht="16.5">
      <c r="A39" s="11" t="s">
        <v>59</v>
      </c>
      <c r="B39" s="11" t="s">
        <v>58</v>
      </c>
      <c r="C39" s="11" t="s">
        <v>151</v>
      </c>
      <c r="D39" s="23">
        <v>0.1</v>
      </c>
      <c r="E39" s="4" t="s">
        <v>322</v>
      </c>
      <c r="F39" s="20">
        <f t="shared" si="0"/>
        <v>1.4285714285714286E-6</v>
      </c>
      <c r="G39" s="20">
        <f t="shared" si="2"/>
        <v>1.4285714285714286E-3</v>
      </c>
      <c r="H39" s="18">
        <v>0.3</v>
      </c>
      <c r="I39" s="18">
        <v>0.5</v>
      </c>
      <c r="J39" s="19">
        <f t="shared" si="1"/>
        <v>0.38</v>
      </c>
    </row>
    <row r="40" spans="1:10">
      <c r="A40" s="11" t="s">
        <v>57</v>
      </c>
      <c r="B40" s="11" t="s">
        <v>56</v>
      </c>
      <c r="C40" s="11" t="s">
        <v>55</v>
      </c>
      <c r="D40" s="23">
        <v>0.8</v>
      </c>
      <c r="E40" s="4" t="s">
        <v>298</v>
      </c>
      <c r="F40" s="20">
        <f t="shared" si="0"/>
        <v>1.1428571428571429E-5</v>
      </c>
      <c r="G40" s="20">
        <f t="shared" si="2"/>
        <v>1.1428571428571429E-2</v>
      </c>
      <c r="H40" s="18">
        <v>0.3</v>
      </c>
      <c r="I40" s="18">
        <v>0.5</v>
      </c>
      <c r="J40" s="19">
        <f t="shared" si="1"/>
        <v>0.38</v>
      </c>
    </row>
    <row r="41" spans="1:10">
      <c r="A41" s="11" t="s">
        <v>54</v>
      </c>
      <c r="B41" s="11" t="s">
        <v>53</v>
      </c>
      <c r="C41" s="11" t="s">
        <v>150</v>
      </c>
      <c r="D41" s="23">
        <v>9.9000000000000008E-3</v>
      </c>
      <c r="E41" s="4" t="s">
        <v>298</v>
      </c>
      <c r="F41" s="20">
        <f t="shared" si="0"/>
        <v>1.4142857142857143E-7</v>
      </c>
      <c r="G41" s="20">
        <f t="shared" si="2"/>
        <v>1.4142857142857143E-4</v>
      </c>
      <c r="H41" s="18">
        <v>0.3</v>
      </c>
      <c r="I41" s="18">
        <v>0.5</v>
      </c>
      <c r="J41" s="19">
        <f t="shared" si="1"/>
        <v>0.38</v>
      </c>
    </row>
    <row r="42" spans="1:10">
      <c r="A42" s="11" t="s">
        <v>149</v>
      </c>
      <c r="B42" s="11" t="s">
        <v>148</v>
      </c>
      <c r="C42" s="11" t="s">
        <v>147</v>
      </c>
      <c r="D42" s="23">
        <v>0.03</v>
      </c>
      <c r="E42" s="4" t="s">
        <v>298</v>
      </c>
      <c r="F42" s="20">
        <f t="shared" si="0"/>
        <v>4.2857142857142857E-7</v>
      </c>
      <c r="G42" s="20">
        <f t="shared" si="2"/>
        <v>4.2857142857142855E-4</v>
      </c>
      <c r="H42" s="18">
        <v>0.3</v>
      </c>
      <c r="I42" s="18">
        <v>0.5</v>
      </c>
      <c r="J42" s="19">
        <f t="shared" si="1"/>
        <v>0.38</v>
      </c>
    </row>
    <row r="43" spans="1:10">
      <c r="A43" s="11" t="s">
        <v>52</v>
      </c>
      <c r="B43" s="11" t="s">
        <v>51</v>
      </c>
      <c r="C43" s="11" t="s">
        <v>48</v>
      </c>
      <c r="D43" s="23">
        <v>4.5</v>
      </c>
      <c r="E43" s="4" t="s">
        <v>298</v>
      </c>
      <c r="F43" s="20">
        <f t="shared" si="0"/>
        <v>6.4285714285714274E-5</v>
      </c>
      <c r="G43" s="20">
        <f t="shared" si="2"/>
        <v>6.4285714285714279E-2</v>
      </c>
      <c r="H43" s="18">
        <v>0.3</v>
      </c>
      <c r="I43" s="18">
        <v>0.5</v>
      </c>
      <c r="J43" s="19">
        <f t="shared" si="1"/>
        <v>0.38</v>
      </c>
    </row>
    <row r="44" spans="1:10">
      <c r="A44" s="11" t="s">
        <v>50</v>
      </c>
      <c r="B44" s="11" t="s">
        <v>49</v>
      </c>
      <c r="C44" s="11" t="s">
        <v>48</v>
      </c>
      <c r="D44" s="23">
        <v>9.1</v>
      </c>
      <c r="E44" s="4" t="s">
        <v>298</v>
      </c>
      <c r="F44" s="20">
        <f t="shared" si="0"/>
        <v>1.3000000000000002E-4</v>
      </c>
      <c r="G44" s="20">
        <f t="shared" si="2"/>
        <v>0.13</v>
      </c>
      <c r="H44" s="18">
        <v>0.3</v>
      </c>
      <c r="I44" s="18">
        <v>0.5</v>
      </c>
      <c r="J44" s="19">
        <f t="shared" si="1"/>
        <v>0.38</v>
      </c>
    </row>
    <row r="45" spans="1:10">
      <c r="A45" s="11" t="s">
        <v>47</v>
      </c>
      <c r="B45" s="11" t="s">
        <v>46</v>
      </c>
      <c r="C45" s="11" t="s">
        <v>5</v>
      </c>
      <c r="D45" s="23">
        <v>1.6</v>
      </c>
      <c r="E45" s="4" t="s">
        <v>311</v>
      </c>
      <c r="F45" s="20">
        <f t="shared" si="0"/>
        <v>2.2857142857142858E-5</v>
      </c>
      <c r="G45" s="20">
        <f t="shared" si="2"/>
        <v>2.2857142857142857E-2</v>
      </c>
      <c r="H45" s="18">
        <v>0.3</v>
      </c>
      <c r="I45" s="18">
        <v>0.5</v>
      </c>
      <c r="J45" s="19">
        <f t="shared" si="1"/>
        <v>0.38</v>
      </c>
    </row>
    <row r="46" spans="1:10">
      <c r="A46" s="11" t="s">
        <v>45</v>
      </c>
      <c r="B46" s="11" t="s">
        <v>44</v>
      </c>
      <c r="C46" s="11" t="s">
        <v>43</v>
      </c>
      <c r="D46" s="23">
        <v>7.8E-2</v>
      </c>
      <c r="E46" s="4" t="s">
        <v>298</v>
      </c>
      <c r="F46" s="20">
        <f t="shared" si="0"/>
        <v>1.1142857142857143E-6</v>
      </c>
      <c r="G46" s="20">
        <f t="shared" si="2"/>
        <v>1.1142857142857144E-3</v>
      </c>
      <c r="H46" s="18">
        <v>0.3</v>
      </c>
      <c r="I46" s="18">
        <v>0.5</v>
      </c>
      <c r="J46" s="19">
        <f t="shared" si="1"/>
        <v>0.38</v>
      </c>
    </row>
    <row r="47" spans="1:10">
      <c r="A47" s="11" t="s">
        <v>42</v>
      </c>
      <c r="B47" s="11" t="s">
        <v>41</v>
      </c>
      <c r="C47" s="11" t="s">
        <v>38</v>
      </c>
      <c r="D47" s="23">
        <v>6.3</v>
      </c>
      <c r="E47" s="4" t="s">
        <v>298</v>
      </c>
      <c r="F47" s="20">
        <f t="shared" si="0"/>
        <v>8.9999999999999992E-5</v>
      </c>
      <c r="G47" s="20">
        <f t="shared" si="2"/>
        <v>0.09</v>
      </c>
      <c r="H47" s="18">
        <v>0.3</v>
      </c>
      <c r="I47" s="18">
        <v>0.5</v>
      </c>
      <c r="J47" s="19">
        <f t="shared" si="1"/>
        <v>0.38</v>
      </c>
    </row>
    <row r="48" spans="1:10">
      <c r="A48" s="11" t="s">
        <v>40</v>
      </c>
      <c r="B48" s="11" t="s">
        <v>39</v>
      </c>
      <c r="C48" s="11" t="s">
        <v>38</v>
      </c>
      <c r="D48" s="23">
        <v>1.8</v>
      </c>
      <c r="E48" s="4" t="s">
        <v>298</v>
      </c>
      <c r="F48" s="20">
        <f t="shared" si="0"/>
        <v>2.5714285714285714E-5</v>
      </c>
      <c r="G48" s="20">
        <f t="shared" si="2"/>
        <v>2.5714285714285714E-2</v>
      </c>
      <c r="H48" s="18">
        <v>0.3</v>
      </c>
      <c r="I48" s="18">
        <v>0.5</v>
      </c>
      <c r="J48" s="19">
        <f t="shared" si="1"/>
        <v>0.38</v>
      </c>
    </row>
    <row r="49" spans="1:10">
      <c r="A49" s="11" t="s">
        <v>37</v>
      </c>
      <c r="B49" s="11" t="s">
        <v>36</v>
      </c>
      <c r="C49" s="11" t="s">
        <v>35</v>
      </c>
      <c r="D49" s="23">
        <v>1.8</v>
      </c>
      <c r="E49" s="4" t="s">
        <v>298</v>
      </c>
      <c r="F49" s="20">
        <f t="shared" si="0"/>
        <v>2.5714285714285714E-5</v>
      </c>
      <c r="G49" s="20">
        <f t="shared" si="2"/>
        <v>2.5714285714285714E-2</v>
      </c>
      <c r="H49" s="18">
        <v>0.3</v>
      </c>
      <c r="I49" s="18">
        <v>0.5</v>
      </c>
      <c r="J49" s="19">
        <f t="shared" si="1"/>
        <v>0.38</v>
      </c>
    </row>
    <row r="50" spans="1:10">
      <c r="A50" s="11" t="s">
        <v>34</v>
      </c>
      <c r="B50" s="11" t="s">
        <v>33</v>
      </c>
      <c r="C50" s="11" t="s">
        <v>32</v>
      </c>
      <c r="D50" s="23">
        <v>6200</v>
      </c>
      <c r="E50" s="4" t="s">
        <v>298</v>
      </c>
      <c r="F50" s="20">
        <f t="shared" si="0"/>
        <v>8.8571428571428565E-2</v>
      </c>
      <c r="G50" s="20">
        <f t="shared" si="2"/>
        <v>88.571428571428569</v>
      </c>
      <c r="H50" s="18">
        <v>0.3</v>
      </c>
      <c r="I50" s="18">
        <v>0.5</v>
      </c>
      <c r="J50" s="19">
        <f t="shared" si="1"/>
        <v>0.38</v>
      </c>
    </row>
    <row r="51" spans="1:10">
      <c r="A51" s="11" t="s">
        <v>146</v>
      </c>
      <c r="B51" s="11" t="s">
        <v>145</v>
      </c>
      <c r="C51" s="11" t="s">
        <v>144</v>
      </c>
      <c r="D51" s="23">
        <v>0.04</v>
      </c>
      <c r="E51" s="4" t="s">
        <v>312</v>
      </c>
      <c r="F51" s="20">
        <f t="shared" si="0"/>
        <v>5.7142857142857149E-7</v>
      </c>
      <c r="G51" s="20">
        <f t="shared" si="2"/>
        <v>5.7142857142857147E-4</v>
      </c>
      <c r="H51" s="18">
        <v>0.3</v>
      </c>
      <c r="I51" s="18">
        <v>0.5</v>
      </c>
      <c r="J51" s="19">
        <f t="shared" si="1"/>
        <v>0.38</v>
      </c>
    </row>
    <row r="52" spans="1:10">
      <c r="A52" s="11" t="s">
        <v>31</v>
      </c>
      <c r="B52" s="11" t="s">
        <v>30</v>
      </c>
      <c r="C52" s="11" t="s">
        <v>143</v>
      </c>
      <c r="D52" s="23">
        <v>3</v>
      </c>
      <c r="E52" s="4" t="s">
        <v>298</v>
      </c>
      <c r="F52" s="20">
        <f t="shared" si="0"/>
        <v>4.2857142857142856E-5</v>
      </c>
      <c r="G52" s="20">
        <f t="shared" si="2"/>
        <v>4.2857142857142858E-2</v>
      </c>
      <c r="H52" s="18">
        <v>0.3</v>
      </c>
      <c r="I52" s="18">
        <v>0.5</v>
      </c>
      <c r="J52" s="19">
        <f t="shared" si="1"/>
        <v>0.38</v>
      </c>
    </row>
    <row r="53" spans="1:10">
      <c r="A53" s="11" t="s">
        <v>142</v>
      </c>
      <c r="B53" s="11" t="s">
        <v>141</v>
      </c>
      <c r="C53" s="11" t="s">
        <v>140</v>
      </c>
      <c r="D53" s="23">
        <v>9.5E-4</v>
      </c>
      <c r="E53" s="4" t="s">
        <v>298</v>
      </c>
      <c r="F53" s="20">
        <f t="shared" si="0"/>
        <v>1.3571428571428572E-8</v>
      </c>
      <c r="G53" s="20">
        <f t="shared" si="2"/>
        <v>1.3571428571428572E-5</v>
      </c>
      <c r="H53" s="18">
        <v>0.3</v>
      </c>
      <c r="I53" s="18">
        <v>0.5</v>
      </c>
      <c r="J53" s="19">
        <f t="shared" si="1"/>
        <v>0.38</v>
      </c>
    </row>
    <row r="54" spans="1:10">
      <c r="A54" s="11" t="s">
        <v>139</v>
      </c>
      <c r="B54" s="11" t="s">
        <v>138</v>
      </c>
      <c r="C54" s="11" t="s">
        <v>137</v>
      </c>
      <c r="D54" s="23">
        <v>4.5999999999999999E-2</v>
      </c>
      <c r="E54" s="4" t="s">
        <v>298</v>
      </c>
      <c r="F54" s="20">
        <f t="shared" si="0"/>
        <v>6.5714285714285714E-7</v>
      </c>
      <c r="G54" s="20">
        <f t="shared" si="2"/>
        <v>6.5714285714285712E-4</v>
      </c>
      <c r="H54" s="18">
        <v>0.3</v>
      </c>
      <c r="I54" s="18">
        <v>0.5</v>
      </c>
      <c r="J54" s="19">
        <f t="shared" si="1"/>
        <v>0.38</v>
      </c>
    </row>
    <row r="55" spans="1:10">
      <c r="A55" s="11" t="s">
        <v>136</v>
      </c>
      <c r="B55" s="11" t="s">
        <v>135</v>
      </c>
      <c r="C55" s="11" t="s">
        <v>48</v>
      </c>
      <c r="D55" s="23">
        <v>22</v>
      </c>
      <c r="E55" s="4" t="s">
        <v>313</v>
      </c>
      <c r="F55" s="20">
        <f t="shared" si="0"/>
        <v>3.1428571428571427E-4</v>
      </c>
      <c r="G55" s="20">
        <f t="shared" si="2"/>
        <v>0.31428571428571428</v>
      </c>
      <c r="H55" s="18">
        <v>0.3</v>
      </c>
      <c r="I55" s="18">
        <v>0.5</v>
      </c>
      <c r="J55" s="19">
        <f t="shared" si="1"/>
        <v>0.38</v>
      </c>
    </row>
    <row r="56" spans="1:10">
      <c r="A56" s="11" t="s">
        <v>29</v>
      </c>
      <c r="B56" s="11" t="s">
        <v>28</v>
      </c>
      <c r="C56" s="11" t="s">
        <v>27</v>
      </c>
      <c r="D56" s="23">
        <v>5.4</v>
      </c>
      <c r="E56" s="4" t="s">
        <v>298</v>
      </c>
      <c r="F56" s="20">
        <f t="shared" si="0"/>
        <v>7.7142857142857154E-5</v>
      </c>
      <c r="G56" s="20">
        <f t="shared" si="2"/>
        <v>7.7142857142857152E-2</v>
      </c>
      <c r="H56" s="18">
        <v>0.3</v>
      </c>
      <c r="I56" s="18">
        <v>0.5</v>
      </c>
      <c r="J56" s="19">
        <f t="shared" si="1"/>
        <v>0.38</v>
      </c>
    </row>
    <row r="57" spans="1:10">
      <c r="A57" s="11" t="s">
        <v>134</v>
      </c>
      <c r="B57" s="11" t="s">
        <v>133</v>
      </c>
      <c r="C57" s="11" t="s">
        <v>48</v>
      </c>
      <c r="D57" s="23">
        <v>7</v>
      </c>
      <c r="E57" s="4" t="s">
        <v>313</v>
      </c>
      <c r="F57" s="20">
        <f t="shared" si="0"/>
        <v>1E-4</v>
      </c>
      <c r="G57" s="20">
        <f t="shared" si="2"/>
        <v>0.1</v>
      </c>
      <c r="H57" s="18">
        <v>0.3</v>
      </c>
      <c r="I57" s="18">
        <v>0.5</v>
      </c>
      <c r="J57" s="19">
        <f t="shared" si="1"/>
        <v>0.38</v>
      </c>
    </row>
    <row r="58" spans="1:10">
      <c r="A58" s="11" t="s">
        <v>132</v>
      </c>
      <c r="B58" s="11" t="s">
        <v>131</v>
      </c>
      <c r="C58" s="11" t="s">
        <v>130</v>
      </c>
      <c r="D58" s="23">
        <v>2.8</v>
      </c>
      <c r="E58" s="4" t="s">
        <v>298</v>
      </c>
      <c r="F58" s="20">
        <f t="shared" si="0"/>
        <v>4.0000000000000003E-5</v>
      </c>
      <c r="G58" s="20">
        <f t="shared" si="2"/>
        <v>0.04</v>
      </c>
      <c r="H58" s="18">
        <v>0.3</v>
      </c>
      <c r="I58" s="18">
        <v>0.5</v>
      </c>
      <c r="J58" s="19">
        <f t="shared" si="1"/>
        <v>0.38</v>
      </c>
    </row>
    <row r="59" spans="1:10">
      <c r="A59" s="11" t="s">
        <v>26</v>
      </c>
      <c r="B59" s="11" t="s">
        <v>25</v>
      </c>
      <c r="C59" s="11" t="s">
        <v>22</v>
      </c>
      <c r="D59" s="23">
        <v>150</v>
      </c>
      <c r="E59" s="4" t="s">
        <v>314</v>
      </c>
      <c r="F59" s="20">
        <f t="shared" si="0"/>
        <v>2.142857142857143E-3</v>
      </c>
      <c r="G59" s="20">
        <f t="shared" si="2"/>
        <v>2.1428571428571428</v>
      </c>
      <c r="H59" s="18">
        <v>0.3</v>
      </c>
      <c r="I59" s="18">
        <v>0.5</v>
      </c>
      <c r="J59" s="19">
        <f t="shared" si="1"/>
        <v>0.38</v>
      </c>
    </row>
    <row r="60" spans="1:10">
      <c r="A60" s="11" t="s">
        <v>24</v>
      </c>
      <c r="B60" s="11" t="s">
        <v>23</v>
      </c>
      <c r="C60" s="11" t="s">
        <v>22</v>
      </c>
      <c r="D60" s="23">
        <v>51</v>
      </c>
      <c r="E60" s="4" t="s">
        <v>314</v>
      </c>
      <c r="F60" s="20">
        <f t="shared" si="0"/>
        <v>7.2857142857142858E-4</v>
      </c>
      <c r="G60" s="20">
        <f t="shared" si="2"/>
        <v>0.72857142857142854</v>
      </c>
      <c r="H60" s="18">
        <v>0.3</v>
      </c>
      <c r="I60" s="18">
        <v>0.5</v>
      </c>
      <c r="J60" s="19">
        <f t="shared" si="1"/>
        <v>0.38</v>
      </c>
    </row>
    <row r="61" spans="1:10">
      <c r="A61" s="11" t="s">
        <v>129</v>
      </c>
      <c r="B61" s="11" t="s">
        <v>128</v>
      </c>
      <c r="C61" s="11" t="s">
        <v>127</v>
      </c>
      <c r="D61" s="23">
        <v>4.8999999999999998E-3</v>
      </c>
      <c r="E61" s="4" t="s">
        <v>298</v>
      </c>
      <c r="F61" s="20">
        <f t="shared" si="0"/>
        <v>6.9999999999999992E-8</v>
      </c>
      <c r="G61" s="20">
        <f t="shared" si="2"/>
        <v>6.9999999999999994E-5</v>
      </c>
      <c r="H61" s="18">
        <v>0.3</v>
      </c>
      <c r="I61" s="18">
        <v>0.5</v>
      </c>
      <c r="J61" s="19">
        <f t="shared" si="1"/>
        <v>0.38</v>
      </c>
    </row>
    <row r="62" spans="1:10">
      <c r="A62" s="11" t="s">
        <v>21</v>
      </c>
      <c r="B62" s="11" t="s">
        <v>20</v>
      </c>
      <c r="C62" s="11" t="s">
        <v>19</v>
      </c>
      <c r="D62" s="23">
        <v>2.1</v>
      </c>
      <c r="E62" s="4" t="s">
        <v>298</v>
      </c>
      <c r="F62" s="20">
        <f t="shared" si="0"/>
        <v>3.0000000000000001E-5</v>
      </c>
      <c r="G62" s="20">
        <f t="shared" si="2"/>
        <v>3.0000000000000002E-2</v>
      </c>
      <c r="H62" s="18">
        <v>0.3</v>
      </c>
      <c r="I62" s="18">
        <v>0.5</v>
      </c>
      <c r="J62" s="19">
        <f t="shared" si="1"/>
        <v>0.38</v>
      </c>
    </row>
    <row r="63" spans="1:10">
      <c r="A63" s="11" t="s">
        <v>126</v>
      </c>
      <c r="B63" s="11" t="s">
        <v>125</v>
      </c>
      <c r="C63" s="11" t="s">
        <v>124</v>
      </c>
      <c r="D63" s="23">
        <v>0.4</v>
      </c>
      <c r="E63" s="4" t="s">
        <v>302</v>
      </c>
      <c r="F63" s="20">
        <f t="shared" si="0"/>
        <v>5.7142857142857145E-6</v>
      </c>
      <c r="G63" s="20">
        <f t="shared" si="2"/>
        <v>5.7142857142857143E-3</v>
      </c>
      <c r="H63" s="18">
        <v>0.3</v>
      </c>
      <c r="I63" s="18">
        <v>0.5</v>
      </c>
      <c r="J63" s="19">
        <f t="shared" si="1"/>
        <v>0.38</v>
      </c>
    </row>
    <row r="64" spans="1:10">
      <c r="A64" s="11" t="s">
        <v>123</v>
      </c>
      <c r="B64" s="11" t="s">
        <v>122</v>
      </c>
      <c r="C64" s="11" t="s">
        <v>121</v>
      </c>
      <c r="D64" s="23">
        <v>0.15</v>
      </c>
      <c r="E64" s="4" t="s">
        <v>315</v>
      </c>
      <c r="F64" s="20">
        <f t="shared" si="0"/>
        <v>2.1428571428571432E-6</v>
      </c>
      <c r="G64" s="20">
        <f t="shared" si="2"/>
        <v>2.142857142857143E-3</v>
      </c>
      <c r="H64" s="18">
        <v>0.3</v>
      </c>
      <c r="I64" s="18">
        <v>0.5</v>
      </c>
      <c r="J64" s="19">
        <f t="shared" si="1"/>
        <v>0.38</v>
      </c>
    </row>
    <row r="65" spans="1:10">
      <c r="A65" s="11" t="s">
        <v>18</v>
      </c>
      <c r="B65" s="11" t="s">
        <v>17</v>
      </c>
      <c r="C65" s="11" t="s">
        <v>120</v>
      </c>
      <c r="D65" s="23">
        <v>0.24</v>
      </c>
      <c r="E65" s="4" t="s">
        <v>298</v>
      </c>
      <c r="F65" s="20">
        <f t="shared" si="0"/>
        <v>3.4285714285714285E-6</v>
      </c>
      <c r="G65" s="20">
        <f t="shared" si="2"/>
        <v>3.4285714285714284E-3</v>
      </c>
      <c r="H65" s="18">
        <v>0.3</v>
      </c>
      <c r="I65" s="18">
        <v>0.5</v>
      </c>
      <c r="J65" s="19">
        <f t="shared" si="1"/>
        <v>0.38</v>
      </c>
    </row>
    <row r="66" spans="1:10">
      <c r="A66" s="11" t="s">
        <v>119</v>
      </c>
      <c r="B66" s="11" t="s">
        <v>118</v>
      </c>
      <c r="C66" s="11" t="s">
        <v>117</v>
      </c>
      <c r="D66" s="23">
        <v>3</v>
      </c>
      <c r="E66" s="4" t="s">
        <v>316</v>
      </c>
      <c r="F66" s="20">
        <f t="shared" si="0"/>
        <v>4.2857142857142856E-5</v>
      </c>
      <c r="G66" s="20">
        <f t="shared" si="2"/>
        <v>4.2857142857142858E-2</v>
      </c>
      <c r="H66" s="18">
        <v>0.3</v>
      </c>
      <c r="I66" s="18">
        <v>0.5</v>
      </c>
      <c r="J66" s="19">
        <f t="shared" si="1"/>
        <v>0.38</v>
      </c>
    </row>
    <row r="67" spans="1:10">
      <c r="A67" s="11" t="s">
        <v>16</v>
      </c>
      <c r="B67" s="11" t="s">
        <v>15</v>
      </c>
      <c r="C67" s="11" t="s">
        <v>14</v>
      </c>
      <c r="D67" s="23">
        <v>2.5999999999999999E-2</v>
      </c>
      <c r="E67" s="4" t="s">
        <v>298</v>
      </c>
      <c r="F67" s="20">
        <f t="shared" ref="F67:F78" si="3">D67/70/1000</f>
        <v>3.7142857142857145E-7</v>
      </c>
      <c r="G67" s="20">
        <f t="shared" ref="G67:G78" si="4">(D67/70)</f>
        <v>3.7142857142857143E-4</v>
      </c>
      <c r="H67" s="18">
        <v>0.3</v>
      </c>
      <c r="I67" s="18">
        <v>0.5</v>
      </c>
      <c r="J67" s="19">
        <f t="shared" ref="J67:J78" si="5">((H67*0.6)+(I67*0.4))</f>
        <v>0.38</v>
      </c>
    </row>
    <row r="68" spans="1:10">
      <c r="A68" s="11" t="s">
        <v>116</v>
      </c>
      <c r="B68" s="11" t="s">
        <v>115</v>
      </c>
      <c r="C68" s="11" t="s">
        <v>114</v>
      </c>
      <c r="D68" s="23">
        <v>0.2</v>
      </c>
      <c r="E68" s="4" t="s">
        <v>317</v>
      </c>
      <c r="F68" s="20">
        <f t="shared" si="3"/>
        <v>2.8571428571428573E-6</v>
      </c>
      <c r="G68" s="20">
        <f t="shared" si="4"/>
        <v>2.8571428571428571E-3</v>
      </c>
      <c r="H68" s="18">
        <v>0.3</v>
      </c>
      <c r="I68" s="18">
        <v>0.5</v>
      </c>
      <c r="J68" s="19">
        <f t="shared" si="5"/>
        <v>0.38</v>
      </c>
    </row>
    <row r="69" spans="1:10">
      <c r="A69" s="11" t="s">
        <v>13</v>
      </c>
      <c r="B69" s="11" t="s">
        <v>12</v>
      </c>
      <c r="C69" s="11" t="s">
        <v>11</v>
      </c>
      <c r="D69" s="23">
        <v>2.0999999999999999E-3</v>
      </c>
      <c r="E69" s="4" t="s">
        <v>318</v>
      </c>
      <c r="F69" s="20">
        <f t="shared" si="3"/>
        <v>2.9999999999999997E-8</v>
      </c>
      <c r="G69" s="20">
        <f t="shared" si="4"/>
        <v>2.9999999999999997E-5</v>
      </c>
      <c r="H69" s="18">
        <v>0.3</v>
      </c>
      <c r="I69" s="18">
        <v>0.5</v>
      </c>
      <c r="J69" s="19">
        <f t="shared" si="5"/>
        <v>0.38</v>
      </c>
    </row>
    <row r="70" spans="1:10">
      <c r="A70" s="11" t="s">
        <v>10</v>
      </c>
      <c r="B70" s="11" t="s">
        <v>9</v>
      </c>
      <c r="C70" s="11" t="s">
        <v>8</v>
      </c>
      <c r="D70" s="23">
        <v>1.1000000000000001</v>
      </c>
      <c r="E70" s="4" t="s">
        <v>298</v>
      </c>
      <c r="F70" s="20">
        <f t="shared" si="3"/>
        <v>1.5714285714285715E-5</v>
      </c>
      <c r="G70" s="20">
        <f t="shared" si="4"/>
        <v>1.5714285714285715E-2</v>
      </c>
      <c r="H70" s="18">
        <v>0.3</v>
      </c>
      <c r="I70" s="18">
        <v>0.5</v>
      </c>
      <c r="J70" s="19">
        <f t="shared" si="5"/>
        <v>0.38</v>
      </c>
    </row>
    <row r="71" spans="1:10">
      <c r="A71" s="11" t="s">
        <v>113</v>
      </c>
      <c r="B71" s="11" t="s">
        <v>112</v>
      </c>
      <c r="C71" s="11" t="s">
        <v>11</v>
      </c>
      <c r="D71" s="23">
        <v>7.0000000000000007E-2</v>
      </c>
      <c r="E71" s="4" t="s">
        <v>302</v>
      </c>
      <c r="F71" s="20">
        <f t="shared" si="3"/>
        <v>9.9999999999999995E-7</v>
      </c>
      <c r="G71" s="20">
        <f t="shared" si="4"/>
        <v>1E-3</v>
      </c>
      <c r="H71" s="18">
        <v>0.3</v>
      </c>
      <c r="I71" s="18">
        <v>0.5</v>
      </c>
      <c r="J71" s="19">
        <f t="shared" si="5"/>
        <v>0.38</v>
      </c>
    </row>
    <row r="72" spans="1:10">
      <c r="A72" s="11" t="s">
        <v>7</v>
      </c>
      <c r="B72" s="11" t="s">
        <v>6</v>
      </c>
      <c r="C72" s="11" t="s">
        <v>5</v>
      </c>
      <c r="D72" s="23">
        <v>5.7000000000000002E-2</v>
      </c>
      <c r="E72" s="4" t="s">
        <v>298</v>
      </c>
      <c r="F72" s="20">
        <f>D72/70/1000</f>
        <v>8.1428571428571431E-7</v>
      </c>
      <c r="G72" s="20">
        <f t="shared" si="4"/>
        <v>8.1428571428571433E-4</v>
      </c>
      <c r="H72" s="18">
        <v>0.3</v>
      </c>
      <c r="I72" s="18">
        <v>0.5</v>
      </c>
      <c r="J72" s="19">
        <f t="shared" si="5"/>
        <v>0.38</v>
      </c>
    </row>
    <row r="73" spans="1:10">
      <c r="A73" s="11" t="s">
        <v>4</v>
      </c>
      <c r="B73" s="11" t="s">
        <v>3</v>
      </c>
      <c r="C73" s="11" t="s">
        <v>2</v>
      </c>
      <c r="D73" s="23">
        <v>1.0999999999999999E-2</v>
      </c>
      <c r="E73" s="4" t="s">
        <v>298</v>
      </c>
      <c r="F73" s="20">
        <f t="shared" si="3"/>
        <v>1.5714285714285714E-7</v>
      </c>
      <c r="G73" s="20">
        <f t="shared" si="4"/>
        <v>1.5714285714285713E-4</v>
      </c>
      <c r="H73" s="18">
        <v>0.3</v>
      </c>
      <c r="I73" s="18">
        <v>0.5</v>
      </c>
      <c r="J73" s="19">
        <f t="shared" si="5"/>
        <v>0.38</v>
      </c>
    </row>
    <row r="74" spans="1:10">
      <c r="A74" s="11" t="s">
        <v>111</v>
      </c>
      <c r="B74" s="11" t="s">
        <v>110</v>
      </c>
      <c r="C74" s="11" t="s">
        <v>109</v>
      </c>
      <c r="D74" s="23">
        <v>7.7000000000000002E-3</v>
      </c>
      <c r="E74" s="4" t="s">
        <v>298</v>
      </c>
      <c r="F74" s="20">
        <f t="shared" si="3"/>
        <v>1.1000000000000001E-7</v>
      </c>
      <c r="G74" s="20">
        <f t="shared" si="4"/>
        <v>1.1E-4</v>
      </c>
      <c r="H74" s="18">
        <v>0.3</v>
      </c>
      <c r="I74" s="18">
        <v>0.5</v>
      </c>
      <c r="J74" s="19">
        <f t="shared" si="5"/>
        <v>0.38</v>
      </c>
    </row>
    <row r="75" spans="1:10">
      <c r="A75" s="11" t="s">
        <v>108</v>
      </c>
      <c r="B75" s="11" t="s">
        <v>107</v>
      </c>
      <c r="C75" s="11" t="s">
        <v>106</v>
      </c>
      <c r="D75" s="23">
        <v>0.03</v>
      </c>
      <c r="E75" s="4" t="s">
        <v>298</v>
      </c>
      <c r="F75" s="20">
        <f t="shared" si="3"/>
        <v>4.2857142857142857E-7</v>
      </c>
      <c r="G75" s="20">
        <f t="shared" si="4"/>
        <v>4.2857142857142855E-4</v>
      </c>
      <c r="H75" s="18">
        <v>0.3</v>
      </c>
      <c r="I75" s="18">
        <v>0.5</v>
      </c>
      <c r="J75" s="19">
        <f t="shared" si="5"/>
        <v>0.38</v>
      </c>
    </row>
    <row r="76" spans="1:10">
      <c r="A76" s="11" t="s">
        <v>1</v>
      </c>
      <c r="B76" s="11" t="s">
        <v>0</v>
      </c>
      <c r="C76" s="11" t="s">
        <v>105</v>
      </c>
      <c r="D76" s="23">
        <v>0.75</v>
      </c>
      <c r="E76" s="4" t="s">
        <v>319</v>
      </c>
      <c r="F76" s="20">
        <f t="shared" si="3"/>
        <v>1.0714285714285714E-5</v>
      </c>
      <c r="G76" s="20">
        <f t="shared" si="4"/>
        <v>1.0714285714285714E-2</v>
      </c>
      <c r="H76" s="18">
        <v>0.3</v>
      </c>
      <c r="I76" s="18">
        <v>0.5</v>
      </c>
      <c r="J76" s="19">
        <f t="shared" si="5"/>
        <v>0.38</v>
      </c>
    </row>
    <row r="77" spans="1:10">
      <c r="A77" s="11" t="s">
        <v>1</v>
      </c>
      <c r="B77" s="11" t="s">
        <v>0</v>
      </c>
      <c r="C77" s="11" t="s">
        <v>105</v>
      </c>
      <c r="D77" s="23">
        <v>1.4</v>
      </c>
      <c r="E77" s="4" t="s">
        <v>320</v>
      </c>
      <c r="F77" s="20">
        <f t="shared" si="3"/>
        <v>2.0000000000000002E-5</v>
      </c>
      <c r="G77" s="20">
        <f t="shared" si="4"/>
        <v>0.02</v>
      </c>
      <c r="H77" s="18">
        <v>0.3</v>
      </c>
      <c r="I77" s="18">
        <v>0.5</v>
      </c>
      <c r="J77" s="19">
        <f t="shared" si="5"/>
        <v>0.38</v>
      </c>
    </row>
    <row r="78" spans="1:10">
      <c r="A78" s="11" t="s">
        <v>1</v>
      </c>
      <c r="B78" s="11" t="s">
        <v>0</v>
      </c>
      <c r="C78" s="11" t="s">
        <v>105</v>
      </c>
      <c r="D78" s="23">
        <v>1.5</v>
      </c>
      <c r="E78" s="4" t="s">
        <v>319</v>
      </c>
      <c r="F78" s="20">
        <f t="shared" si="3"/>
        <v>2.1428571428571428E-5</v>
      </c>
      <c r="G78" s="20">
        <f t="shared" si="4"/>
        <v>2.1428571428571429E-2</v>
      </c>
      <c r="H78" s="18">
        <v>0.3</v>
      </c>
      <c r="I78" s="18">
        <v>0.5</v>
      </c>
      <c r="J78" s="19">
        <f t="shared" si="5"/>
        <v>0.38</v>
      </c>
    </row>
    <row r="80" spans="1:10">
      <c r="F80" s="20"/>
    </row>
  </sheetData>
  <pageMargins left="0.7" right="0.7" top="0.75" bottom="0.75" header="0.3" footer="0.3"/>
  <pageSetup orientation="portrait" horizontalDpi="4294967292" verticalDpi="4294967292"/>
  <legacy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0"/>
  <sheetViews>
    <sheetView zoomScale="85" zoomScaleNormal="85" zoomScalePageLayoutView="150" workbookViewId="0">
      <selection activeCell="E14" sqref="E14"/>
    </sheetView>
  </sheetViews>
  <sheetFormatPr defaultColWidth="8.81640625" defaultRowHeight="15.5"/>
  <cols>
    <col min="1" max="1" width="22.7265625" style="4" bestFit="1" customWidth="1"/>
    <col min="2" max="2" width="22.1796875" style="4" bestFit="1" customWidth="1"/>
    <col min="3" max="3" width="9" style="5" customWidth="1"/>
    <col min="4" max="5" width="9" style="4" customWidth="1"/>
    <col min="6" max="6" width="8.81640625" style="4" customWidth="1"/>
    <col min="7" max="7" width="20.26953125" style="4" customWidth="1"/>
    <col min="8" max="9" width="14.1796875" style="4" customWidth="1"/>
    <col min="10" max="10" width="14.26953125" style="4" customWidth="1"/>
    <col min="11" max="11" width="17.81640625" style="4" customWidth="1"/>
    <col min="12" max="12" width="8.81640625" style="4" customWidth="1"/>
    <col min="13" max="13" width="23.36328125" style="5" bestFit="1" customWidth="1"/>
    <col min="14" max="16384" width="8.81640625" style="4"/>
  </cols>
  <sheetData>
    <row r="1" spans="1:13">
      <c r="A1" s="4" t="s">
        <v>353</v>
      </c>
      <c r="B1" s="4" t="s">
        <v>354</v>
      </c>
      <c r="C1" s="5" t="s">
        <v>237</v>
      </c>
      <c r="D1" s="4" t="s">
        <v>235</v>
      </c>
      <c r="E1" s="4" t="s">
        <v>236</v>
      </c>
      <c r="G1" s="6" t="s">
        <v>238</v>
      </c>
      <c r="H1" s="6" t="s">
        <v>239</v>
      </c>
      <c r="I1" s="6" t="s">
        <v>240</v>
      </c>
      <c r="J1" s="6" t="s">
        <v>241</v>
      </c>
      <c r="K1" s="6" t="s">
        <v>242</v>
      </c>
      <c r="M1" s="5" t="s">
        <v>243</v>
      </c>
    </row>
    <row r="2" spans="1:13">
      <c r="A2" s="4">
        <v>0</v>
      </c>
      <c r="B2" s="4">
        <f>A2*1000</f>
        <v>0</v>
      </c>
      <c r="C2" s="5">
        <f>B2*0.036</f>
        <v>0</v>
      </c>
      <c r="D2" s="4">
        <v>100</v>
      </c>
      <c r="E2" s="4">
        <v>15</v>
      </c>
      <c r="G2" s="7">
        <f>(2.1*(_xlfn.NORM.DIST((85+C2),$D2,$E2,TRUE)-_xlfn.NORM.DIST((70+C2),$D2,$E2,TRUE)-(_xlfn.NORM.DIST((85),$D2,$E2,TRUE)-_xlfn.NORM.DIST((70),$D2,$E2,TRUE))))*0.0034</f>
        <v>0</v>
      </c>
      <c r="H2" s="7">
        <f>(2.1*(_xlfn.NORM.DIST((69+$C2),$D2,$E2,TRUE)-_xlfn.NORM.DIST((50+$C2),$D2,$E2,TRUE)-(_xlfn.NORM.DIST(69,$D2,$E2,TRUE)-_xlfn.NORM.DIST(50,$D2,$E2,TRUE))))*0.0034</f>
        <v>0</v>
      </c>
      <c r="I2" s="7">
        <f>(2.1*(_xlfn.NORM.DIST((49+$C2),$D2,$E2,TRUE)-_xlfn.NORM.DIST((35+$C2),$D2,$E2,TRUE)-(_xlfn.NORM.DIST(49,$D2,$E2,TRUE)-_xlfn.NORM.DIST(35,$D2,$E2,TRUE))))*0.0034</f>
        <v>0</v>
      </c>
      <c r="J2" s="7">
        <f>(2.1*(_xlfn.NORM.DIST((34+$C2),$D2,$E2,TRUE)-_xlfn.NORM.DIST((20+$C2),$D2,$E2,TRUE)-(_xlfn.NORM.DIST(34,$D2,$E2,TRUE)-_xlfn.NORM.DIST(20,$D2,$E2,TRUE))))*0.0034</f>
        <v>0</v>
      </c>
      <c r="K2" s="7">
        <f>(2.1*(_xlfn.NORM.DIST((34+$C2),$D2,$E2,TRUE)-(_xlfn.NORM.DIST(34,$D2,$E2,TRUE))))*0.0034</f>
        <v>0</v>
      </c>
      <c r="M2" s="5">
        <f>SUM(G2:K2)</f>
        <v>0</v>
      </c>
    </row>
    <row r="3" spans="1:13">
      <c r="A3" s="4">
        <v>0.01</v>
      </c>
      <c r="B3" s="4">
        <f t="shared" ref="B3:B30" si="0">A3*1000</f>
        <v>10</v>
      </c>
      <c r="C3" s="5">
        <f t="shared" ref="C3:C30" si="1">B3*0.036</f>
        <v>0.36</v>
      </c>
      <c r="D3" s="4">
        <v>99.027932219999997</v>
      </c>
      <c r="E3" s="4">
        <v>15</v>
      </c>
      <c r="G3" s="7">
        <f t="shared" ref="G3:G30" si="2">(2.1*(_xlfn.NORM.DIST((85+C3),$D3,$E3,TRUE)-_xlfn.NORM.DIST((70+C3),$D3,$E3,TRUE)-(_xlfn.NORM.DIST((85),$D3,$E3,TRUE)-_xlfn.NORM.DIST((70),$D3,$E3,TRUE))))*0.0034</f>
        <v>3.3885245314960252E-5</v>
      </c>
      <c r="H3" s="7">
        <f t="shared" ref="H3:H30" si="3">(2.1*(_xlfn.NORM.DIST((69+$C3),$D3,$E3,TRUE)-_xlfn.NORM.DIST((50+$C3),$D3,$E3,TRUE)-(_xlfn.NORM.DIST(69,$D3,$E3,TRUE)-_xlfn.NORM.DIST(50,$D3,$E3,TRUE))))*0.0034</f>
        <v>9.1011117830691137E-6</v>
      </c>
      <c r="I3" s="7">
        <f t="shared" ref="I3:I30" si="4">(2.1*(_xlfn.NORM.DIST((49+$C3),$D3,$E3,TRUE)-_xlfn.NORM.DIST((35+$C3),$D3,$E3,TRUE)-(_xlfn.NORM.DIST(49,$D3,$E3,TRUE)-_xlfn.NORM.DIST(35,$D3,$E3,TRUE))))*0.0034</f>
        <v>2.6546393892522699E-7</v>
      </c>
      <c r="J3" s="7">
        <f t="shared" ref="J3:J30" si="5">(2.1*(_xlfn.NORM.DIST((34+$C3),$D3,$E3,TRUE)-_xlfn.NORM.DIST((20+$C3),$D3,$E3,TRUE)-(_xlfn.NORM.DIST(34,$D3,$E3,TRUE)-_xlfn.NORM.DIST(20,$D3,$E3,TRUE))))*0.0034</f>
        <v>5.9090713306947557E-9</v>
      </c>
      <c r="K3" s="7">
        <f t="shared" ref="K3:K30" si="6">(2.1*(_xlfn.NORM.DIST((34+$C3),$D3,$E3,TRUE)-(_xlfn.NORM.DIST(34,$D3,$E3,TRUE))))*0.0034</f>
        <v>5.9774752475945204E-9</v>
      </c>
      <c r="M3" s="5">
        <f t="shared" ref="M3:M30" si="7">SUM(G3:K3)</f>
        <v>4.3263707583532879E-5</v>
      </c>
    </row>
    <row r="4" spans="1:13">
      <c r="A4" s="4">
        <v>0.02</v>
      </c>
      <c r="B4" s="4">
        <f t="shared" si="0"/>
        <v>20</v>
      </c>
      <c r="C4" s="5">
        <f t="shared" si="1"/>
        <v>0.72</v>
      </c>
      <c r="D4" s="4">
        <v>98.312447891000005</v>
      </c>
      <c r="E4" s="4">
        <v>15</v>
      </c>
      <c r="G4" s="7">
        <f t="shared" si="2"/>
        <v>7.0080838157280051E-5</v>
      </c>
      <c r="H4" s="7">
        <f t="shared" si="3"/>
        <v>2.0405069567113241E-5</v>
      </c>
      <c r="I4" s="7">
        <f t="shared" si="4"/>
        <v>6.4560376094152529E-7</v>
      </c>
      <c r="J4" s="7">
        <f t="shared" si="5"/>
        <v>1.5279264263533111E-8</v>
      </c>
      <c r="K4" s="7">
        <f t="shared" si="6"/>
        <v>1.5466517265838247E-8</v>
      </c>
      <c r="M4" s="5">
        <f t="shared" si="7"/>
        <v>9.116225726686419E-5</v>
      </c>
    </row>
    <row r="5" spans="1:13">
      <c r="A5" s="4">
        <v>0.03</v>
      </c>
      <c r="B5" s="4">
        <f t="shared" si="0"/>
        <v>30</v>
      </c>
      <c r="C5" s="5">
        <f t="shared" si="1"/>
        <v>1.0799999999999998</v>
      </c>
      <c r="D5" s="4">
        <v>97.658317281999999</v>
      </c>
      <c r="E5" s="4">
        <v>15</v>
      </c>
      <c r="G5" s="7">
        <f t="shared" si="2"/>
        <v>1.0793925950345387E-4</v>
      </c>
      <c r="H5" s="7">
        <f t="shared" si="3"/>
        <v>3.3930889266332916E-5</v>
      </c>
      <c r="I5" s="7">
        <f t="shared" si="4"/>
        <v>1.1585707485542037E-6</v>
      </c>
      <c r="J5" s="7">
        <f t="shared" si="5"/>
        <v>2.9043461313752596E-8</v>
      </c>
      <c r="K5" s="7">
        <f t="shared" si="6"/>
        <v>2.9418999187462235E-8</v>
      </c>
      <c r="M5" s="5">
        <f t="shared" si="7"/>
        <v>1.4308718197884223E-4</v>
      </c>
    </row>
    <row r="6" spans="1:13">
      <c r="A6" s="4">
        <v>0.04</v>
      </c>
      <c r="B6" s="4">
        <f t="shared" si="0"/>
        <v>40</v>
      </c>
      <c r="C6" s="5">
        <f t="shared" si="1"/>
        <v>1.44</v>
      </c>
      <c r="D6" s="4">
        <v>97.169097785999995</v>
      </c>
      <c r="E6" s="4">
        <v>15</v>
      </c>
      <c r="G6" s="7">
        <f t="shared" si="2"/>
        <v>1.4649448904551917E-4</v>
      </c>
      <c r="H6" s="7">
        <f t="shared" si="3"/>
        <v>4.9029296899471731E-5</v>
      </c>
      <c r="I6" s="7">
        <f t="shared" si="4"/>
        <v>1.7806448530280433E-6</v>
      </c>
      <c r="J6" s="7">
        <f t="shared" si="5"/>
        <v>4.6772732623240475E-8</v>
      </c>
      <c r="K6" s="7">
        <f t="shared" si="6"/>
        <v>4.7404487666816959E-8</v>
      </c>
      <c r="M6" s="5">
        <f t="shared" si="7"/>
        <v>1.9739860801830901E-4</v>
      </c>
    </row>
    <row r="7" spans="1:13">
      <c r="A7" s="4">
        <v>0.05</v>
      </c>
      <c r="B7" s="4">
        <f t="shared" si="0"/>
        <v>50</v>
      </c>
      <c r="C7" s="5">
        <f t="shared" si="1"/>
        <v>1.7999999999999998</v>
      </c>
      <c r="D7" s="4">
        <v>96.743192274999998</v>
      </c>
      <c r="E7" s="4">
        <v>15</v>
      </c>
      <c r="G7" s="7">
        <f t="shared" si="2"/>
        <v>1.8556580676667371E-4</v>
      </c>
      <c r="H7" s="7">
        <f t="shared" si="3"/>
        <v>6.5797771055511222E-5</v>
      </c>
      <c r="I7" s="7">
        <f t="shared" si="4"/>
        <v>2.5281001974495731E-6</v>
      </c>
      <c r="J7" s="7">
        <f t="shared" si="5"/>
        <v>6.9308402196563329E-8</v>
      </c>
      <c r="K7" s="7">
        <f t="shared" si="6"/>
        <v>7.0282798151884644E-8</v>
      </c>
      <c r="M7" s="5">
        <f t="shared" si="7"/>
        <v>2.54031269219983E-4</v>
      </c>
    </row>
    <row r="8" spans="1:13">
      <c r="A8" s="4">
        <v>0.06</v>
      </c>
      <c r="B8" s="4">
        <f t="shared" si="0"/>
        <v>60</v>
      </c>
      <c r="C8" s="5">
        <f t="shared" si="1"/>
        <v>2.1599999999999997</v>
      </c>
      <c r="D8" s="4">
        <v>96.410921540999993</v>
      </c>
      <c r="E8" s="4">
        <v>15</v>
      </c>
      <c r="G8" s="7">
        <f t="shared" si="2"/>
        <v>2.2470310029749398E-4</v>
      </c>
      <c r="H8" s="7">
        <f t="shared" si="3"/>
        <v>8.3736200850209944E-5</v>
      </c>
      <c r="I8" s="7">
        <f t="shared" si="4"/>
        <v>3.3761228978432921E-6</v>
      </c>
      <c r="J8" s="7">
        <f t="shared" si="5"/>
        <v>9.6021779329039256E-8</v>
      </c>
      <c r="K8" s="7">
        <f t="shared" si="6"/>
        <v>9.7419175399963882E-8</v>
      </c>
      <c r="M8" s="5">
        <f t="shared" si="7"/>
        <v>3.1200886500027623E-4</v>
      </c>
    </row>
    <row r="9" spans="1:13">
      <c r="A9" s="4">
        <v>7.0000000000000007E-2</v>
      </c>
      <c r="B9" s="4">
        <f t="shared" si="0"/>
        <v>70</v>
      </c>
      <c r="C9" s="5">
        <f t="shared" si="1"/>
        <v>2.52</v>
      </c>
      <c r="D9" s="4">
        <v>96.068152416000004</v>
      </c>
      <c r="E9" s="4">
        <v>15</v>
      </c>
      <c r="G9" s="7">
        <f t="shared" si="2"/>
        <v>2.6403966738683144E-4</v>
      </c>
      <c r="H9" s="7">
        <f t="shared" si="3"/>
        <v>1.0359457046483719E-4</v>
      </c>
      <c r="I9" s="7">
        <f t="shared" si="4"/>
        <v>4.3885022731335175E-6</v>
      </c>
      <c r="J9" s="7">
        <f t="shared" si="5"/>
        <v>1.2962246787577187E-7</v>
      </c>
      <c r="K9" s="7">
        <f t="shared" si="6"/>
        <v>1.3157717223217666E-7</v>
      </c>
      <c r="M9" s="5">
        <f t="shared" si="7"/>
        <v>3.722839397649101E-4</v>
      </c>
    </row>
    <row r="10" spans="1:13">
      <c r="A10" s="4">
        <v>0.08</v>
      </c>
      <c r="B10" s="4">
        <f t="shared" si="0"/>
        <v>80</v>
      </c>
      <c r="C10" s="5">
        <f t="shared" si="1"/>
        <v>2.88</v>
      </c>
      <c r="D10" s="4">
        <v>95.794939522000007</v>
      </c>
      <c r="E10" s="4">
        <v>15</v>
      </c>
      <c r="G10" s="7">
        <f t="shared" si="2"/>
        <v>3.0308670262759786E-4</v>
      </c>
      <c r="H10" s="7">
        <f t="shared" si="3"/>
        <v>1.2444630317036621E-4</v>
      </c>
      <c r="I10" s="7">
        <f t="shared" si="4"/>
        <v>5.5058727203165322E-6</v>
      </c>
      <c r="J10" s="7">
        <f t="shared" si="5"/>
        <v>1.6814567800714419E-7</v>
      </c>
      <c r="K10" s="7">
        <f t="shared" si="6"/>
        <v>1.7076260669422921E-7</v>
      </c>
      <c r="M10" s="5">
        <f t="shared" si="7"/>
        <v>4.3337778680298196E-4</v>
      </c>
    </row>
    <row r="11" spans="1:13">
      <c r="A11" s="4">
        <v>0.09</v>
      </c>
      <c r="B11" s="4">
        <f t="shared" si="0"/>
        <v>90</v>
      </c>
      <c r="C11" s="5">
        <f t="shared" si="1"/>
        <v>3.2399999999999998</v>
      </c>
      <c r="D11" s="4">
        <v>95.542649420999993</v>
      </c>
      <c r="E11" s="4">
        <v>15</v>
      </c>
      <c r="G11" s="7">
        <f t="shared" si="2"/>
        <v>3.4185308973067448E-4</v>
      </c>
      <c r="H11" s="7">
        <f t="shared" si="3"/>
        <v>1.4668704747571122E-4</v>
      </c>
      <c r="I11" s="7">
        <f t="shared" si="4"/>
        <v>6.7670849307713719E-6</v>
      </c>
      <c r="J11" s="7">
        <f t="shared" si="5"/>
        <v>2.1343784274829899E-7</v>
      </c>
      <c r="K11" s="7">
        <f t="shared" si="6"/>
        <v>2.1686286286504323E-7</v>
      </c>
      <c r="M11" s="5">
        <f t="shared" si="7"/>
        <v>4.9573752284277038E-4</v>
      </c>
    </row>
    <row r="12" spans="1:13">
      <c r="A12" s="4">
        <v>0.1</v>
      </c>
      <c r="B12" s="4">
        <f t="shared" si="0"/>
        <v>100</v>
      </c>
      <c r="C12" s="5">
        <f t="shared" si="1"/>
        <v>3.5999999999999996</v>
      </c>
      <c r="D12" s="4">
        <v>95.340779225999995</v>
      </c>
      <c r="E12" s="4">
        <v>15</v>
      </c>
      <c r="G12" s="7">
        <f t="shared" si="2"/>
        <v>3.8016396940528048E-4</v>
      </c>
      <c r="H12" s="7">
        <f t="shared" si="3"/>
        <v>1.6972235371483726E-4</v>
      </c>
      <c r="I12" s="7">
        <f t="shared" si="4"/>
        <v>8.1291539198841756E-6</v>
      </c>
      <c r="J12" s="7">
        <f t="shared" si="5"/>
        <v>2.6397609745348142E-7</v>
      </c>
      <c r="K12" s="7">
        <f t="shared" si="6"/>
        <v>2.6833131826929955E-7</v>
      </c>
      <c r="M12" s="5">
        <f t="shared" si="7"/>
        <v>5.5854778445572461E-4</v>
      </c>
    </row>
    <row r="13" spans="1:13">
      <c r="A13" s="4">
        <v>0.11</v>
      </c>
      <c r="B13" s="4">
        <f t="shared" si="0"/>
        <v>110</v>
      </c>
      <c r="C13" s="5">
        <f t="shared" si="1"/>
        <v>3.9599999999999995</v>
      </c>
      <c r="D13" s="4">
        <v>95.119899661999995</v>
      </c>
      <c r="E13" s="4">
        <v>15</v>
      </c>
      <c r="G13" s="7">
        <f t="shared" si="2"/>
        <v>4.1799747300248909E-4</v>
      </c>
      <c r="H13" s="7">
        <f t="shared" si="3"/>
        <v>1.9464308504473798E-4</v>
      </c>
      <c r="I13" s="7">
        <f t="shared" si="4"/>
        <v>9.6985907979984928E-6</v>
      </c>
      <c r="J13" s="7">
        <f t="shared" si="5"/>
        <v>3.2476007447520084E-7</v>
      </c>
      <c r="K13" s="7">
        <f t="shared" si="6"/>
        <v>3.3027734258451839E-7</v>
      </c>
      <c r="M13" s="5">
        <f t="shared" si="7"/>
        <v>6.229941862622852E-4</v>
      </c>
    </row>
    <row r="14" spans="1:13">
      <c r="A14" s="4">
        <v>0.12</v>
      </c>
      <c r="B14" s="4">
        <f t="shared" si="0"/>
        <v>120</v>
      </c>
      <c r="C14" s="5">
        <f t="shared" si="1"/>
        <v>4.3199999999999994</v>
      </c>
      <c r="D14" s="4">
        <v>94.941684206999994</v>
      </c>
      <c r="E14" s="4">
        <v>15</v>
      </c>
      <c r="G14" s="7">
        <f t="shared" si="2"/>
        <v>4.5520869791328356E-4</v>
      </c>
      <c r="H14" s="7">
        <f t="shared" si="3"/>
        <v>2.2025901871364819E-4</v>
      </c>
      <c r="I14" s="7">
        <f t="shared" si="4"/>
        <v>1.1376109333068329E-5</v>
      </c>
      <c r="J14" s="7">
        <f t="shared" si="5"/>
        <v>3.9178047096828179E-7</v>
      </c>
      <c r="K14" s="7">
        <f t="shared" si="6"/>
        <v>3.9861786954765911E-7</v>
      </c>
      <c r="M14" s="5">
        <f t="shared" si="7"/>
        <v>6.876342243005161E-4</v>
      </c>
    </row>
    <row r="15" spans="1:13">
      <c r="A15" s="4">
        <v>0.13</v>
      </c>
      <c r="B15" s="4">
        <f t="shared" si="0"/>
        <v>130</v>
      </c>
      <c r="C15" s="5">
        <f t="shared" si="1"/>
        <v>4.68</v>
      </c>
      <c r="D15" s="4">
        <v>94.772612123000002</v>
      </c>
      <c r="E15" s="4">
        <v>15</v>
      </c>
      <c r="G15" s="7">
        <f t="shared" si="2"/>
        <v>4.9172461208126742E-4</v>
      </c>
      <c r="H15" s="7">
        <f t="shared" si="3"/>
        <v>2.4712835985522531E-4</v>
      </c>
      <c r="I15" s="7">
        <f t="shared" si="4"/>
        <v>1.3222688183448798E-5</v>
      </c>
      <c r="J15" s="7">
        <f t="shared" si="5"/>
        <v>4.6817684692044328E-7</v>
      </c>
      <c r="K15" s="7">
        <f t="shared" si="6"/>
        <v>4.7656810210079293E-7</v>
      </c>
      <c r="M15" s="5">
        <f t="shared" si="7"/>
        <v>7.5302040506896283E-4</v>
      </c>
    </row>
    <row r="16" spans="1:13">
      <c r="A16" s="4">
        <v>0.14000000000000001</v>
      </c>
      <c r="B16" s="4">
        <f t="shared" si="0"/>
        <v>140</v>
      </c>
      <c r="C16" s="5">
        <f t="shared" si="1"/>
        <v>5.04</v>
      </c>
      <c r="D16" s="4">
        <v>94.611790814000003</v>
      </c>
      <c r="E16" s="4">
        <v>15</v>
      </c>
      <c r="G16" s="7">
        <f t="shared" si="2"/>
        <v>5.2744441566233849E-4</v>
      </c>
      <c r="H16" s="7">
        <f t="shared" si="3"/>
        <v>2.7523814145240385E-4</v>
      </c>
      <c r="I16" s="7">
        <f t="shared" si="4"/>
        <v>1.52482878525126E-5</v>
      </c>
      <c r="J16" s="7">
        <f t="shared" si="5"/>
        <v>5.5490794797141709E-7</v>
      </c>
      <c r="K16" s="7">
        <f t="shared" si="6"/>
        <v>5.6511988932055574E-7</v>
      </c>
      <c r="M16" s="5">
        <f t="shared" si="7"/>
        <v>8.1905087280454694E-4</v>
      </c>
    </row>
    <row r="17" spans="1:13">
      <c r="A17" s="4">
        <v>0.15</v>
      </c>
      <c r="B17" s="4">
        <f t="shared" si="0"/>
        <v>150</v>
      </c>
      <c r="C17" s="5">
        <f t="shared" si="1"/>
        <v>5.3999999999999995</v>
      </c>
      <c r="D17" s="4">
        <v>94.45845233</v>
      </c>
      <c r="E17" s="4">
        <v>15</v>
      </c>
      <c r="G17" s="7">
        <f t="shared" si="2"/>
        <v>5.6227242181697929E-4</v>
      </c>
      <c r="H17" s="7">
        <f t="shared" si="3"/>
        <v>3.0457460951069154E-4</v>
      </c>
      <c r="I17" s="7">
        <f t="shared" si="4"/>
        <v>1.7463300973090528E-5</v>
      </c>
      <c r="J17" s="7">
        <f t="shared" si="5"/>
        <v>6.5301510296562135E-7</v>
      </c>
      <c r="K17" s="7">
        <f t="shared" si="6"/>
        <v>6.6535178407435808E-7</v>
      </c>
      <c r="M17" s="5">
        <f t="shared" si="7"/>
        <v>8.8562869918780136E-4</v>
      </c>
    </row>
    <row r="18" spans="1:13">
      <c r="A18" s="4">
        <v>0.16</v>
      </c>
      <c r="B18" s="4">
        <f t="shared" si="0"/>
        <v>160</v>
      </c>
      <c r="C18" s="5">
        <f t="shared" si="1"/>
        <v>5.76</v>
      </c>
      <c r="D18" s="4">
        <v>94.335903532000003</v>
      </c>
      <c r="E18" s="4">
        <v>15</v>
      </c>
      <c r="G18" s="7">
        <f t="shared" si="2"/>
        <v>5.9633882608211848E-4</v>
      </c>
      <c r="H18" s="7">
        <f t="shared" si="3"/>
        <v>3.3438231501039276E-4</v>
      </c>
      <c r="I18" s="7">
        <f t="shared" si="4"/>
        <v>1.9791398122341454E-5</v>
      </c>
      <c r="J18" s="7">
        <f t="shared" si="5"/>
        <v>7.5904505788888445E-7</v>
      </c>
      <c r="K18" s="7">
        <f t="shared" si="6"/>
        <v>7.7374134633904702E-7</v>
      </c>
      <c r="M18" s="5">
        <f t="shared" si="7"/>
        <v>9.5204532561908052E-4</v>
      </c>
    </row>
    <row r="19" spans="1:13">
      <c r="A19" s="4">
        <v>0.17</v>
      </c>
      <c r="B19" s="4">
        <f t="shared" si="0"/>
        <v>170</v>
      </c>
      <c r="C19" s="5">
        <f t="shared" si="1"/>
        <v>6.1199999999999992</v>
      </c>
      <c r="D19" s="4">
        <v>94.194616917999994</v>
      </c>
      <c r="E19" s="4">
        <v>15</v>
      </c>
      <c r="G19" s="7">
        <f t="shared" si="2"/>
        <v>6.29161617208807E-4</v>
      </c>
      <c r="H19" s="7">
        <f t="shared" si="3"/>
        <v>3.6610500443797031E-4</v>
      </c>
      <c r="I19" s="7">
        <f t="shared" si="4"/>
        <v>2.241163602032219E-5</v>
      </c>
      <c r="J19" s="7">
        <f t="shared" si="5"/>
        <v>8.8289963561601731E-7</v>
      </c>
      <c r="K19" s="7">
        <f t="shared" si="6"/>
        <v>9.0044404928711559E-7</v>
      </c>
      <c r="M19" s="5">
        <f t="shared" si="7"/>
        <v>1.0194616013520026E-3</v>
      </c>
    </row>
    <row r="20" spans="1:13">
      <c r="A20" s="4">
        <v>0.18</v>
      </c>
      <c r="B20" s="4">
        <f t="shared" si="0"/>
        <v>180</v>
      </c>
      <c r="C20" s="5">
        <f t="shared" si="1"/>
        <v>6.4799999999999995</v>
      </c>
      <c r="D20" s="4">
        <v>94.081334876</v>
      </c>
      <c r="E20" s="4">
        <v>15</v>
      </c>
      <c r="G20" s="7">
        <f t="shared" si="2"/>
        <v>6.6114780234148639E-4</v>
      </c>
      <c r="H20" s="7">
        <f t="shared" si="3"/>
        <v>3.9822115479331443E-4</v>
      </c>
      <c r="I20" s="7">
        <f t="shared" si="4"/>
        <v>2.5154224725178746E-5</v>
      </c>
      <c r="J20" s="7">
        <f t="shared" si="5"/>
        <v>1.0161741208271927E-6</v>
      </c>
      <c r="K20" s="7">
        <f t="shared" si="6"/>
        <v>1.036867303073592E-6</v>
      </c>
      <c r="M20" s="5">
        <f t="shared" si="7"/>
        <v>1.0865762232838804E-3</v>
      </c>
    </row>
    <row r="21" spans="1:13">
      <c r="A21" s="4">
        <v>0.19</v>
      </c>
      <c r="B21" s="4">
        <f t="shared" si="0"/>
        <v>190</v>
      </c>
      <c r="C21" s="5">
        <f t="shared" si="1"/>
        <v>6.84</v>
      </c>
      <c r="D21" s="4">
        <v>93.950343481000004</v>
      </c>
      <c r="E21" s="4">
        <v>15</v>
      </c>
      <c r="G21" s="7">
        <f t="shared" si="2"/>
        <v>6.9163866456821335E-4</v>
      </c>
      <c r="H21" s="7">
        <f t="shared" si="3"/>
        <v>4.3226663731091752E-4</v>
      </c>
      <c r="I21" s="7">
        <f t="shared" si="4"/>
        <v>2.8225654298034408E-5</v>
      </c>
      <c r="J21" s="7">
        <f t="shared" si="5"/>
        <v>1.1709401310582738E-6</v>
      </c>
      <c r="K21" s="7">
        <f t="shared" si="6"/>
        <v>1.1954087390157371E-6</v>
      </c>
      <c r="M21" s="5">
        <f t="shared" si="7"/>
        <v>1.1544973050472392E-3</v>
      </c>
    </row>
    <row r="22" spans="1:13">
      <c r="A22" s="4">
        <v>0.2</v>
      </c>
      <c r="B22" s="4">
        <f t="shared" si="0"/>
        <v>200</v>
      </c>
      <c r="C22" s="5">
        <f t="shared" si="1"/>
        <v>7.1999999999999993</v>
      </c>
      <c r="D22" s="4">
        <v>93.845025160999995</v>
      </c>
      <c r="E22" s="4">
        <v>15</v>
      </c>
      <c r="G22" s="7">
        <f t="shared" si="2"/>
        <v>7.2123638503909901E-4</v>
      </c>
      <c r="H22" s="7">
        <f t="shared" si="3"/>
        <v>4.6662796445189861E-4</v>
      </c>
      <c r="I22" s="7">
        <f t="shared" si="4"/>
        <v>3.142960787376177E-5</v>
      </c>
      <c r="J22" s="7">
        <f t="shared" si="5"/>
        <v>1.3368979433316953E-6</v>
      </c>
      <c r="K22" s="7">
        <f t="shared" si="6"/>
        <v>1.3655257025619561E-6</v>
      </c>
      <c r="M22" s="5">
        <f t="shared" si="7"/>
        <v>1.2219963810106529E-3</v>
      </c>
    </row>
    <row r="23" spans="1:13">
      <c r="A23" s="4">
        <v>0.21</v>
      </c>
      <c r="B23" s="4">
        <f t="shared" si="0"/>
        <v>210</v>
      </c>
      <c r="C23" s="5">
        <f t="shared" si="1"/>
        <v>7.56</v>
      </c>
      <c r="D23" s="4">
        <v>93.742968000000005</v>
      </c>
      <c r="E23" s="4">
        <v>15</v>
      </c>
      <c r="G23" s="7">
        <f t="shared" si="2"/>
        <v>7.4955755096692853E-4</v>
      </c>
      <c r="H23" s="7">
        <f t="shared" si="3"/>
        <v>5.0207375282219436E-4</v>
      </c>
      <c r="I23" s="7">
        <f t="shared" si="4"/>
        <v>3.4879024932916127E-5</v>
      </c>
      <c r="J23" s="7">
        <f t="shared" si="5"/>
        <v>1.5211886039176306E-6</v>
      </c>
      <c r="K23" s="7">
        <f t="shared" si="6"/>
        <v>1.5545689645431978E-6</v>
      </c>
      <c r="M23" s="5">
        <f t="shared" si="7"/>
        <v>1.2895860862904998E-3</v>
      </c>
    </row>
    <row r="24" spans="1:13">
      <c r="A24" s="4">
        <v>0.22</v>
      </c>
      <c r="B24" s="4">
        <f t="shared" si="0"/>
        <v>220</v>
      </c>
      <c r="C24" s="5">
        <f t="shared" si="1"/>
        <v>7.919999999999999</v>
      </c>
      <c r="D24" s="4">
        <v>93.643976085999995</v>
      </c>
      <c r="E24" s="4">
        <v>15</v>
      </c>
      <c r="G24" s="7">
        <f t="shared" si="2"/>
        <v>7.7653638030935734E-4</v>
      </c>
      <c r="H24" s="7">
        <f t="shared" si="3"/>
        <v>5.3858400529930466E-4</v>
      </c>
      <c r="I24" s="7">
        <f t="shared" si="4"/>
        <v>3.858659774006144E-5</v>
      </c>
      <c r="J24" s="7">
        <f t="shared" si="5"/>
        <v>1.7254716793075099E-6</v>
      </c>
      <c r="K24" s="7">
        <f t="shared" si="6"/>
        <v>1.7642724036572132E-6</v>
      </c>
      <c r="M24" s="5">
        <f t="shared" si="7"/>
        <v>1.3571967274316882E-3</v>
      </c>
    </row>
    <row r="25" spans="1:13">
      <c r="A25" s="4">
        <v>0.23</v>
      </c>
      <c r="B25" s="4">
        <f t="shared" si="0"/>
        <v>230</v>
      </c>
      <c r="C25" s="5">
        <f t="shared" si="1"/>
        <v>8.2799999999999994</v>
      </c>
      <c r="D25" s="4">
        <v>93.566868873999994</v>
      </c>
      <c r="E25" s="4">
        <v>15</v>
      </c>
      <c r="G25" s="7">
        <f t="shared" si="2"/>
        <v>8.0266600002375775E-4</v>
      </c>
      <c r="H25" s="7">
        <f t="shared" si="3"/>
        <v>5.7525268527035592E-4</v>
      </c>
      <c r="I25" s="7">
        <f t="shared" si="4"/>
        <v>4.2426805480093814E-5</v>
      </c>
      <c r="J25" s="7">
        <f t="shared" si="5"/>
        <v>1.9426878602308339E-6</v>
      </c>
      <c r="K25" s="7">
        <f t="shared" si="6"/>
        <v>1.9874025183789018E-6</v>
      </c>
      <c r="M25" s="5">
        <f t="shared" si="7"/>
        <v>1.4242755811528171E-3</v>
      </c>
    </row>
    <row r="26" spans="1:13">
      <c r="A26" s="4">
        <v>0.24</v>
      </c>
      <c r="B26" s="4">
        <f t="shared" si="0"/>
        <v>240</v>
      </c>
      <c r="C26" s="5">
        <f t="shared" si="1"/>
        <v>8.6399999999999988</v>
      </c>
      <c r="D26" s="4">
        <v>93.472954173999995</v>
      </c>
      <c r="E26" s="4">
        <v>15</v>
      </c>
      <c r="G26" s="7">
        <f t="shared" si="2"/>
        <v>8.2682574143287386E-4</v>
      </c>
      <c r="H26" s="7">
        <f t="shared" si="3"/>
        <v>6.1380869166123347E-4</v>
      </c>
      <c r="I26" s="7">
        <f t="shared" si="4"/>
        <v>4.6682030139505683E-5</v>
      </c>
      <c r="J26" s="7">
        <f t="shared" si="5"/>
        <v>2.1916588825599064E-6</v>
      </c>
      <c r="K26" s="7">
        <f t="shared" si="6"/>
        <v>2.2433564769689876E-6</v>
      </c>
      <c r="M26" s="5">
        <f t="shared" si="7"/>
        <v>1.4917514785931418E-3</v>
      </c>
    </row>
    <row r="27" spans="1:13">
      <c r="A27" s="4">
        <v>0.25</v>
      </c>
      <c r="B27" s="4">
        <f t="shared" si="0"/>
        <v>250</v>
      </c>
      <c r="C27" s="5">
        <f t="shared" si="1"/>
        <v>9</v>
      </c>
      <c r="D27" s="4">
        <v>93.381641326999997</v>
      </c>
      <c r="E27" s="4">
        <v>15</v>
      </c>
      <c r="G27" s="7">
        <f t="shared" si="2"/>
        <v>8.494668391542462E-4</v>
      </c>
      <c r="H27" s="7">
        <f t="shared" si="3"/>
        <v>6.5335779398436125E-4</v>
      </c>
      <c r="I27" s="7">
        <f t="shared" si="4"/>
        <v>5.1235455252900651E-5</v>
      </c>
      <c r="J27" s="7">
        <f t="shared" si="5"/>
        <v>2.4663314917108326E-6</v>
      </c>
      <c r="K27" s="7">
        <f t="shared" si="6"/>
        <v>2.5259532026164425E-6</v>
      </c>
      <c r="M27" s="5">
        <f t="shared" si="7"/>
        <v>1.5590523730858352E-3</v>
      </c>
    </row>
    <row r="28" spans="1:13">
      <c r="A28" s="4">
        <v>0.26</v>
      </c>
      <c r="B28" s="4">
        <f t="shared" si="0"/>
        <v>260</v>
      </c>
      <c r="C28" s="5">
        <f t="shared" si="1"/>
        <v>9.36</v>
      </c>
      <c r="D28" s="4">
        <v>93.310369729000001</v>
      </c>
      <c r="E28" s="4">
        <v>15</v>
      </c>
      <c r="G28" s="7">
        <f t="shared" si="2"/>
        <v>8.7124050527933835E-4</v>
      </c>
      <c r="H28" s="7">
        <f t="shared" si="3"/>
        <v>6.9294341916954999E-4</v>
      </c>
      <c r="I28" s="7">
        <f t="shared" si="4"/>
        <v>5.5936889934170838E-5</v>
      </c>
      <c r="J28" s="7">
        <f t="shared" si="5"/>
        <v>2.7575383578675921E-6</v>
      </c>
      <c r="K28" s="7">
        <f t="shared" si="6"/>
        <v>2.8257816537778777E-6</v>
      </c>
      <c r="M28" s="5">
        <f t="shared" si="7"/>
        <v>1.6257041343947045E-3</v>
      </c>
    </row>
    <row r="29" spans="1:13">
      <c r="A29" s="4">
        <v>0.27</v>
      </c>
      <c r="B29" s="4">
        <f t="shared" si="0"/>
        <v>270</v>
      </c>
      <c r="C29" s="5">
        <f t="shared" si="1"/>
        <v>9.7199999999999989</v>
      </c>
      <c r="D29" s="4">
        <v>93.223394155999998</v>
      </c>
      <c r="E29" s="4">
        <v>15</v>
      </c>
      <c r="G29" s="7">
        <f t="shared" si="2"/>
        <v>8.9074167037622135E-4</v>
      </c>
      <c r="H29" s="7">
        <f t="shared" si="3"/>
        <v>7.3438017913583157E-4</v>
      </c>
      <c r="I29" s="7">
        <f t="shared" si="4"/>
        <v>6.1120485013193857E-5</v>
      </c>
      <c r="J29" s="7">
        <f t="shared" si="5"/>
        <v>3.0894317106471773E-6</v>
      </c>
      <c r="K29" s="7">
        <f t="shared" si="6"/>
        <v>3.1677918417622792E-6</v>
      </c>
      <c r="M29" s="5">
        <f t="shared" si="7"/>
        <v>1.6924995580776562E-3</v>
      </c>
    </row>
    <row r="30" spans="1:13">
      <c r="A30" s="4">
        <v>0.28000000000000003</v>
      </c>
      <c r="B30" s="4">
        <f t="shared" si="0"/>
        <v>280</v>
      </c>
      <c r="C30" s="5">
        <f t="shared" si="1"/>
        <v>10.08</v>
      </c>
      <c r="D30" s="4">
        <v>93.155429212000001</v>
      </c>
      <c r="E30" s="4">
        <v>15</v>
      </c>
      <c r="G30" s="7">
        <f t="shared" si="2"/>
        <v>9.0938082929294085E-4</v>
      </c>
      <c r="H30" s="7">
        <f t="shared" si="3"/>
        <v>7.7576770059634061E-4</v>
      </c>
      <c r="I30" s="7">
        <f t="shared" si="4"/>
        <v>6.6462616282110794E-5</v>
      </c>
      <c r="J30" s="7">
        <f t="shared" si="5"/>
        <v>3.4407080036516596E-6</v>
      </c>
      <c r="K30" s="7">
        <f t="shared" si="6"/>
        <v>3.5300578017454119E-6</v>
      </c>
      <c r="M30" s="5">
        <f t="shared" si="7"/>
        <v>1.7585819119767894E-3</v>
      </c>
    </row>
  </sheetData>
  <pageMargins left="0.7" right="0.7" top="0.75" bottom="0.75" header="0.3" footer="0.3"/>
  <pageSetup orientation="portrait" horizontalDpi="4294967292" verticalDpi="4294967292"/>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66"/>
  <sheetViews>
    <sheetView zoomScale="70" zoomScaleNormal="70" workbookViewId="0">
      <selection activeCell="E14" sqref="E14"/>
    </sheetView>
  </sheetViews>
  <sheetFormatPr defaultColWidth="11.36328125" defaultRowHeight="14.5"/>
  <cols>
    <col min="3" max="3" width="11.7265625" bestFit="1" customWidth="1"/>
    <col min="4" max="4" width="22.1796875" bestFit="1" customWidth="1"/>
    <col min="5" max="7" width="14.1796875" customWidth="1"/>
    <col min="11" max="15" width="12.54296875" bestFit="1" customWidth="1"/>
    <col min="17" max="17" width="23.36328125" bestFit="1" customWidth="1"/>
  </cols>
  <sheetData>
    <row r="1" spans="1:17" s="4" customFormat="1" ht="15.5">
      <c r="A1" s="4" t="s">
        <v>339</v>
      </c>
      <c r="B1" s="4" t="s">
        <v>338</v>
      </c>
      <c r="C1" s="4" t="s">
        <v>340</v>
      </c>
      <c r="D1" s="4" t="s">
        <v>355</v>
      </c>
      <c r="E1" s="4" t="s">
        <v>341</v>
      </c>
      <c r="F1" s="4" t="s">
        <v>343</v>
      </c>
      <c r="G1" s="4" t="s">
        <v>342</v>
      </c>
      <c r="H1" s="4" t="s">
        <v>235</v>
      </c>
      <c r="I1" s="4" t="s">
        <v>236</v>
      </c>
      <c r="K1" s="6" t="s">
        <v>238</v>
      </c>
      <c r="L1" s="6" t="s">
        <v>239</v>
      </c>
      <c r="M1" s="6" t="s">
        <v>240</v>
      </c>
      <c r="N1" s="6" t="s">
        <v>241</v>
      </c>
      <c r="O1" s="6" t="s">
        <v>242</v>
      </c>
      <c r="Q1" s="5" t="s">
        <v>243</v>
      </c>
    </row>
    <row r="2" spans="1:17" s="4" customFormat="1" ht="15.5">
      <c r="A2" s="4">
        <v>0</v>
      </c>
      <c r="B2" s="4">
        <f>A2*0.75</f>
        <v>0</v>
      </c>
      <c r="C2" s="4">
        <f>B2/1000</f>
        <v>0</v>
      </c>
      <c r="D2" s="4">
        <f>C2/229.26</f>
        <v>0</v>
      </c>
      <c r="E2" s="4">
        <f>D2*(1000000000)</f>
        <v>0</v>
      </c>
      <c r="F2" s="4">
        <f>E2/2</f>
        <v>0</v>
      </c>
      <c r="G2" s="4">
        <f>F2*0.01</f>
        <v>0</v>
      </c>
      <c r="H2" s="4">
        <v>100</v>
      </c>
      <c r="I2" s="4">
        <v>15</v>
      </c>
      <c r="K2" s="7">
        <f>(2.1*(_xlfn.NORM.DIST((85+G2),$H2,$I2,TRUE)-_xlfn.NORM.DIST((70+G2),$H2,$I2,TRUE)-(_xlfn.NORM.DIST((85),$H2,$I2,TRUE)-_xlfn.NORM.DIST((70),$H2,$I2,TRUE))))*0.0034</f>
        <v>0</v>
      </c>
      <c r="L2" s="7">
        <f>(2.1*(_xlfn.NORM.DIST((69.9+$G2),$H2,$I2,TRUE)-_xlfn.NORM.DIST((50+$G2),$H2,$I2,TRUE)-(_xlfn.NORM.DIST(69.9,$H2,$I2,TRUE)-_xlfn.NORM.DIST(50,$H2,$I2,TRUE))))*0.0034</f>
        <v>0</v>
      </c>
      <c r="M2" s="7">
        <f>(2.1*(_xlfn.NORM.DIST((49.9+$G2),$H2,$I2,TRUE)-_xlfn.NORM.DIST((35+$G2),$H2,$I2,TRUE)-(_xlfn.NORM.DIST(49.9,$H2,$I2,TRUE)-_xlfn.NORM.DIST(35,$H2,$I2,TRUE))))*0.0034</f>
        <v>0</v>
      </c>
      <c r="N2" s="7">
        <f>(2.1*(_xlfn.NORM.DIST((34.9+$G2),$H2,$I2,TRUE)-_xlfn.NORM.DIST((20+$G2),$H2,$I2,TRUE)-(_xlfn.NORM.DIST(34.9,$H2,$I2,TRUE)-_xlfn.NORM.DIST(20,$H2,$I2,TRUE))))*0.0034</f>
        <v>0</v>
      </c>
      <c r="O2" s="7">
        <f>(2.1*(_xlfn.NORM.DIST((34.9+$G2),$H2,$I2,TRUE)-(_xlfn.NORM.DIST(34.9,$H2,$I2,TRUE))))*0.0034</f>
        <v>0</v>
      </c>
      <c r="Q2" s="5">
        <f>SUM(K2:O2)</f>
        <v>0</v>
      </c>
    </row>
    <row r="3" spans="1:17" s="4" customFormat="1" ht="15.5">
      <c r="A3" s="4">
        <v>0.01</v>
      </c>
      <c r="B3" s="4">
        <f>A3*0.75</f>
        <v>7.4999999999999997E-3</v>
      </c>
      <c r="C3" s="4">
        <f>B3/1000</f>
        <v>7.4999999999999993E-6</v>
      </c>
      <c r="D3" s="4">
        <f t="shared" ref="D3:D41" si="0">C3/229.26</f>
        <v>3.2713949227950798E-8</v>
      </c>
      <c r="E3" s="4">
        <f>D3*(1000000000)</f>
        <v>32.713949227950799</v>
      </c>
      <c r="F3" s="4">
        <f t="shared" ref="F3:F64" si="1">E3/2</f>
        <v>16.3569746139754</v>
      </c>
      <c r="G3" s="4">
        <v>0</v>
      </c>
      <c r="H3" s="4">
        <f>100-G3</f>
        <v>100</v>
      </c>
      <c r="I3" s="4">
        <v>15</v>
      </c>
      <c r="K3" s="7">
        <f t="shared" ref="K3:K64" si="2">(2.1*(_xlfn.NORM.DIST((85+G3),$H3,$I3,TRUE)-_xlfn.NORM.DIST((70+G3),$H3,$I3,TRUE)-(_xlfn.NORM.DIST((85),$H3,$I3,TRUE)-_xlfn.NORM.DIST((70),$H3,$I3,TRUE))))*0.0034</f>
        <v>0</v>
      </c>
      <c r="L3" s="7">
        <f t="shared" ref="L3:L64" si="3">(2.1*(_xlfn.NORM.DIST((69.9+$G3),$H3,$I3,TRUE)-_xlfn.NORM.DIST((50+$G3),$H3,$I3,TRUE)-(_xlfn.NORM.DIST(69.9,$H3,$I3,TRUE)-_xlfn.NORM.DIST(50,$H3,$I3,TRUE))))*0.0034</f>
        <v>0</v>
      </c>
      <c r="M3" s="7">
        <f t="shared" ref="M3:M64" si="4">(2.1*(_xlfn.NORM.DIST((49.9+$G3),$H3,$I3,TRUE)-_xlfn.NORM.DIST((35+$G3),$H3,$I3,TRUE)-(_xlfn.NORM.DIST(49.9,$H3,$I3,TRUE)-_xlfn.NORM.DIST(35,$H3,$I3,TRUE))))*0.0034</f>
        <v>0</v>
      </c>
      <c r="N3" s="7">
        <f t="shared" ref="N3:N64" si="5">(2.1*(_xlfn.NORM.DIST((34.9+$G3),$H3,$I3,TRUE)-_xlfn.NORM.DIST((20+$G3),$H3,$I3,TRUE)-(_xlfn.NORM.DIST(34.9,$H3,$I3,TRUE)-_xlfn.NORM.DIST(20,$H3,$I3,TRUE))))*0.0034</f>
        <v>0</v>
      </c>
      <c r="O3" s="7">
        <f t="shared" ref="O3:O64" si="6">(2.1*(_xlfn.NORM.DIST((34.9+$G3),$H3,$I3,TRUE)-(_xlfn.NORM.DIST(34.9,$H3,$I3,TRUE))))*0.0034</f>
        <v>0</v>
      </c>
      <c r="Q3" s="5">
        <f>SUM(K3:O3)</f>
        <v>0</v>
      </c>
    </row>
    <row r="4" spans="1:17" s="4" customFormat="1" ht="15.5">
      <c r="A4" s="4">
        <v>0.02</v>
      </c>
      <c r="B4" s="4">
        <f t="shared" ref="B4:B41" si="7">A4*0.75</f>
        <v>1.4999999999999999E-2</v>
      </c>
      <c r="C4" s="4">
        <f t="shared" ref="C4:C41" si="8">B4/1000</f>
        <v>1.4999999999999999E-5</v>
      </c>
      <c r="D4" s="4">
        <f t="shared" si="0"/>
        <v>6.5427898455901596E-8</v>
      </c>
      <c r="E4" s="4">
        <f t="shared" ref="E4:E41" si="9">D4*(1000000000)</f>
        <v>65.427898455901598</v>
      </c>
      <c r="F4" s="4">
        <f t="shared" si="1"/>
        <v>32.713949227950799</v>
      </c>
      <c r="G4" s="4">
        <v>0</v>
      </c>
      <c r="H4" s="4">
        <f t="shared" ref="H4:H64" si="10">100-G4</f>
        <v>100</v>
      </c>
      <c r="I4" s="4">
        <v>15</v>
      </c>
      <c r="K4" s="7">
        <f t="shared" si="2"/>
        <v>0</v>
      </c>
      <c r="L4" s="7">
        <f t="shared" si="3"/>
        <v>0</v>
      </c>
      <c r="M4" s="7">
        <f t="shared" si="4"/>
        <v>0</v>
      </c>
      <c r="N4" s="7">
        <f t="shared" si="5"/>
        <v>0</v>
      </c>
      <c r="O4" s="7">
        <f t="shared" si="6"/>
        <v>0</v>
      </c>
      <c r="Q4" s="5">
        <f t="shared" ref="Q4:Q35" si="11">SUM(K4:O4)</f>
        <v>0</v>
      </c>
    </row>
    <row r="5" spans="1:17" s="4" customFormat="1" ht="15.5">
      <c r="A5" s="4">
        <v>0.03</v>
      </c>
      <c r="B5" s="4">
        <f t="shared" si="7"/>
        <v>2.2499999999999999E-2</v>
      </c>
      <c r="C5" s="4">
        <f t="shared" si="8"/>
        <v>2.2499999999999998E-5</v>
      </c>
      <c r="D5" s="4">
        <f t="shared" si="0"/>
        <v>9.8141847683852388E-8</v>
      </c>
      <c r="E5" s="4">
        <f t="shared" si="9"/>
        <v>98.14184768385239</v>
      </c>
      <c r="F5" s="4">
        <f t="shared" si="1"/>
        <v>49.070923841926195</v>
      </c>
      <c r="G5" s="4">
        <f t="shared" ref="G5:G41" si="12">F5*0.01</f>
        <v>0.49070923841926195</v>
      </c>
      <c r="H5" s="4">
        <f t="shared" si="10"/>
        <v>99.509290761580743</v>
      </c>
      <c r="I5" s="4">
        <v>15</v>
      </c>
      <c r="K5" s="7">
        <f t="shared" si="2"/>
        <v>4.5393346475992994E-5</v>
      </c>
      <c r="L5" s="7">
        <f t="shared" si="3"/>
        <v>1.3292731470815988E-5</v>
      </c>
      <c r="M5" s="7">
        <f t="shared" si="4"/>
        <v>4.0510692798465958E-7</v>
      </c>
      <c r="N5" s="7">
        <f t="shared" si="5"/>
        <v>9.2852543854199012E-9</v>
      </c>
      <c r="O5" s="7">
        <f t="shared" si="6"/>
        <v>9.3658602955577401E-9</v>
      </c>
      <c r="Q5" s="5">
        <f t="shared" si="11"/>
        <v>5.9109835989474619E-5</v>
      </c>
    </row>
    <row r="6" spans="1:17" s="4" customFormat="1" ht="15.5">
      <c r="A6" s="4">
        <v>0.04</v>
      </c>
      <c r="B6" s="4">
        <f t="shared" si="7"/>
        <v>0.03</v>
      </c>
      <c r="C6" s="4">
        <f t="shared" si="8"/>
        <v>2.9999999999999997E-5</v>
      </c>
      <c r="D6" s="4">
        <f t="shared" si="0"/>
        <v>1.3085579691180319E-7</v>
      </c>
      <c r="E6" s="4">
        <f t="shared" si="9"/>
        <v>130.8557969118032</v>
      </c>
      <c r="F6" s="4">
        <f t="shared" si="1"/>
        <v>65.427898455901598</v>
      </c>
      <c r="G6" s="4">
        <f t="shared" si="12"/>
        <v>0.65427898455901601</v>
      </c>
      <c r="H6" s="4">
        <f t="shared" si="10"/>
        <v>99.345721015440986</v>
      </c>
      <c r="I6" s="4">
        <v>15</v>
      </c>
      <c r="K6" s="7">
        <f t="shared" si="2"/>
        <v>6.1152473594679383E-5</v>
      </c>
      <c r="L6" s="7">
        <f t="shared" si="3"/>
        <v>1.8286654679750611E-5</v>
      </c>
      <c r="M6" s="7">
        <f t="shared" si="4"/>
        <v>5.6990248560600554E-7</v>
      </c>
      <c r="N6" s="7">
        <f t="shared" si="5"/>
        <v>1.3284658219043626E-8</v>
      </c>
      <c r="O6" s="7">
        <f t="shared" si="6"/>
        <v>1.34019276545738E-8</v>
      </c>
      <c r="Q6" s="5">
        <f t="shared" si="11"/>
        <v>8.0035717345909631E-5</v>
      </c>
    </row>
    <row r="7" spans="1:17" ht="15.5">
      <c r="A7" s="4">
        <v>0.05</v>
      </c>
      <c r="B7" s="4">
        <f t="shared" si="7"/>
        <v>3.7500000000000006E-2</v>
      </c>
      <c r="C7" s="4">
        <f t="shared" si="8"/>
        <v>3.7500000000000003E-5</v>
      </c>
      <c r="D7" s="4">
        <f t="shared" si="0"/>
        <v>1.6356974613975401E-7</v>
      </c>
      <c r="E7" s="4">
        <f t="shared" si="9"/>
        <v>163.56974613975402</v>
      </c>
      <c r="F7" s="4">
        <f t="shared" si="1"/>
        <v>81.784873069877008</v>
      </c>
      <c r="G7" s="4">
        <f t="shared" si="12"/>
        <v>0.81784873069877007</v>
      </c>
      <c r="H7" s="4">
        <f t="shared" si="10"/>
        <v>99.182151269301229</v>
      </c>
      <c r="I7" s="4">
        <v>15</v>
      </c>
      <c r="K7" s="7">
        <f t="shared" si="2"/>
        <v>7.7203587530938437E-5</v>
      </c>
      <c r="L7" s="7">
        <f t="shared" si="3"/>
        <v>2.357822627606042E-5</v>
      </c>
      <c r="M7" s="7">
        <f t="shared" si="4"/>
        <v>7.5148606122589391E-7</v>
      </c>
      <c r="N7" s="7">
        <f t="shared" si="5"/>
        <v>1.7816812250357508E-8</v>
      </c>
      <c r="O7" s="7">
        <f t="shared" si="6"/>
        <v>1.7976755797313527E-8</v>
      </c>
      <c r="Q7" s="5">
        <f t="shared" si="11"/>
        <v>1.0156909343627241E-4</v>
      </c>
    </row>
    <row r="8" spans="1:17" ht="15.5">
      <c r="A8" s="4">
        <v>0.06</v>
      </c>
      <c r="B8" s="4">
        <f t="shared" si="7"/>
        <v>4.4999999999999998E-2</v>
      </c>
      <c r="C8" s="4">
        <f t="shared" si="8"/>
        <v>4.4999999999999996E-5</v>
      </c>
      <c r="D8" s="4">
        <f t="shared" si="0"/>
        <v>1.9628369536770478E-7</v>
      </c>
      <c r="E8" s="4">
        <f t="shared" si="9"/>
        <v>196.28369536770478</v>
      </c>
      <c r="F8" s="4">
        <f t="shared" si="1"/>
        <v>98.14184768385239</v>
      </c>
      <c r="G8" s="4">
        <f t="shared" si="12"/>
        <v>0.9814184768385239</v>
      </c>
      <c r="H8" s="4">
        <f t="shared" si="10"/>
        <v>99.018581523161473</v>
      </c>
      <c r="I8" s="4">
        <v>15</v>
      </c>
      <c r="K8" s="7">
        <f t="shared" si="2"/>
        <v>9.3532112590414488E-5</v>
      </c>
      <c r="L8" s="7">
        <f t="shared" si="3"/>
        <v>2.9177211823545502E-5</v>
      </c>
      <c r="M8" s="7">
        <f t="shared" si="4"/>
        <v>9.5110683768813043E-7</v>
      </c>
      <c r="N8" s="7">
        <f t="shared" si="5"/>
        <v>2.293668927720555E-8</v>
      </c>
      <c r="O8" s="7">
        <f t="shared" si="6"/>
        <v>2.3146105408592631E-8</v>
      </c>
      <c r="Q8" s="5">
        <f t="shared" si="11"/>
        <v>1.2370651404633391E-4</v>
      </c>
    </row>
    <row r="9" spans="1:17" ht="15.5">
      <c r="A9" s="4">
        <v>7.0000000000000007E-2</v>
      </c>
      <c r="B9" s="4">
        <f t="shared" si="7"/>
        <v>5.2500000000000005E-2</v>
      </c>
      <c r="C9" s="4">
        <f t="shared" si="8"/>
        <v>5.2500000000000002E-5</v>
      </c>
      <c r="D9" s="4">
        <f t="shared" si="0"/>
        <v>2.2899764459565559E-7</v>
      </c>
      <c r="E9" s="4">
        <f t="shared" si="9"/>
        <v>228.9976445956556</v>
      </c>
      <c r="F9" s="4">
        <f t="shared" si="1"/>
        <v>114.4988222978278</v>
      </c>
      <c r="G9" s="4">
        <f t="shared" si="12"/>
        <v>1.144988222978278</v>
      </c>
      <c r="H9" s="4">
        <f t="shared" si="10"/>
        <v>98.855011777021716</v>
      </c>
      <c r="I9" s="4">
        <v>15</v>
      </c>
      <c r="K9" s="7">
        <f t="shared" si="2"/>
        <v>1.1012256488329713E-4</v>
      </c>
      <c r="L9" s="7">
        <f t="shared" si="3"/>
        <v>3.5093408471971028E-5</v>
      </c>
      <c r="M9" s="7">
        <f t="shared" si="4"/>
        <v>1.1700880216252042E-6</v>
      </c>
      <c r="N9" s="7">
        <f t="shared" si="5"/>
        <v>2.8704169916770848E-8</v>
      </c>
      <c r="O9" s="7">
        <f t="shared" si="6"/>
        <v>2.8970737282215553E-8</v>
      </c>
      <c r="Q9" s="5">
        <f t="shared" si="11"/>
        <v>1.4644373628409235E-4</v>
      </c>
    </row>
    <row r="10" spans="1:17" ht="15.5">
      <c r="A10" s="4">
        <v>0.08</v>
      </c>
      <c r="B10" s="4">
        <f t="shared" si="7"/>
        <v>0.06</v>
      </c>
      <c r="C10" s="4">
        <f t="shared" si="8"/>
        <v>5.9999999999999995E-5</v>
      </c>
      <c r="D10" s="4">
        <f t="shared" si="0"/>
        <v>2.6171159382360639E-7</v>
      </c>
      <c r="E10" s="4">
        <f t="shared" si="9"/>
        <v>261.71159382360639</v>
      </c>
      <c r="F10" s="4">
        <f t="shared" si="1"/>
        <v>130.8557969118032</v>
      </c>
      <c r="G10" s="4">
        <f t="shared" si="12"/>
        <v>1.308557969118032</v>
      </c>
      <c r="H10" s="4">
        <f t="shared" si="10"/>
        <v>98.691442030881973</v>
      </c>
      <c r="I10" s="4">
        <v>15</v>
      </c>
      <c r="K10" s="7">
        <f t="shared" si="2"/>
        <v>1.2695855612719609E-4</v>
      </c>
      <c r="L10" s="7">
        <f t="shared" si="3"/>
        <v>4.1336628107492157E-5</v>
      </c>
      <c r="M10" s="7">
        <f t="shared" si="4"/>
        <v>1.4098301321063825E-6</v>
      </c>
      <c r="N10" s="7">
        <f t="shared" si="5"/>
        <v>3.5184429461730041E-8</v>
      </c>
      <c r="O10" s="7">
        <f t="shared" si="6"/>
        <v>3.5516809142932226E-8</v>
      </c>
      <c r="Q10" s="5">
        <f t="shared" si="11"/>
        <v>1.6977571560539928E-4</v>
      </c>
    </row>
    <row r="11" spans="1:17" ht="15.5">
      <c r="A11" s="4">
        <v>0.09</v>
      </c>
      <c r="B11" s="4">
        <f t="shared" si="7"/>
        <v>6.7500000000000004E-2</v>
      </c>
      <c r="C11" s="4">
        <f t="shared" si="8"/>
        <v>6.7500000000000001E-5</v>
      </c>
      <c r="D11" s="4">
        <f t="shared" si="0"/>
        <v>2.944255430515572E-7</v>
      </c>
      <c r="E11" s="4">
        <f t="shared" si="9"/>
        <v>294.42554305155721</v>
      </c>
      <c r="F11" s="4">
        <f t="shared" si="1"/>
        <v>147.21277152577861</v>
      </c>
      <c r="G11" s="4">
        <f t="shared" si="12"/>
        <v>1.4721277152577861</v>
      </c>
      <c r="H11" s="4">
        <f t="shared" si="10"/>
        <v>98.527872284742216</v>
      </c>
      <c r="I11" s="4">
        <v>15</v>
      </c>
      <c r="K11" s="7">
        <f t="shared" si="2"/>
        <v>1.4402279965231298E-4</v>
      </c>
      <c r="L11" s="7">
        <f t="shared" si="3"/>
        <v>4.7916679642180927E-5</v>
      </c>
      <c r="M11" s="7">
        <f t="shared" si="4"/>
        <v>1.6718143627378055E-6</v>
      </c>
      <c r="N11" s="7">
        <f t="shared" si="5"/>
        <v>4.2448351217504475E-8</v>
      </c>
      <c r="O11" s="7">
        <f t="shared" si="6"/>
        <v>4.2856299948104309E-8</v>
      </c>
      <c r="Q11" s="5">
        <f t="shared" si="11"/>
        <v>1.936965983083973E-4</v>
      </c>
    </row>
    <row r="12" spans="1:17" ht="15.5">
      <c r="A12" s="4">
        <v>0.1</v>
      </c>
      <c r="B12" s="4">
        <f t="shared" si="7"/>
        <v>7.5000000000000011E-2</v>
      </c>
      <c r="C12" s="4">
        <f t="shared" si="8"/>
        <v>7.5000000000000007E-5</v>
      </c>
      <c r="D12" s="4">
        <f t="shared" si="0"/>
        <v>3.2713949227950802E-7</v>
      </c>
      <c r="E12" s="4">
        <f t="shared" si="9"/>
        <v>327.13949227950803</v>
      </c>
      <c r="F12" s="4">
        <f t="shared" si="1"/>
        <v>163.56974613975402</v>
      </c>
      <c r="G12" s="4">
        <f t="shared" si="12"/>
        <v>1.6356974613975401</v>
      </c>
      <c r="H12" s="4">
        <f t="shared" si="10"/>
        <v>98.364302538602459</v>
      </c>
      <c r="I12" s="4">
        <v>15</v>
      </c>
      <c r="K12" s="7">
        <f t="shared" si="2"/>
        <v>1.6129711865323963E-4</v>
      </c>
      <c r="L12" s="7">
        <f t="shared" si="3"/>
        <v>5.484335044751844E-5</v>
      </c>
      <c r="M12" s="7">
        <f t="shared" si="4"/>
        <v>1.9576060134538286E-6</v>
      </c>
      <c r="N12" s="7">
        <f t="shared" si="5"/>
        <v>5.0572967803331062E-8</v>
      </c>
      <c r="O12" s="7">
        <f t="shared" si="6"/>
        <v>5.1067463244139501E-8</v>
      </c>
      <c r="Q12" s="5">
        <f t="shared" si="11"/>
        <v>2.1819971554525936E-4</v>
      </c>
    </row>
    <row r="13" spans="1:17" ht="15.5">
      <c r="A13" s="4">
        <v>0.11</v>
      </c>
      <c r="B13" s="4">
        <f t="shared" si="7"/>
        <v>8.2500000000000004E-2</v>
      </c>
      <c r="C13" s="4">
        <f t="shared" si="8"/>
        <v>8.25E-5</v>
      </c>
      <c r="D13" s="4">
        <f t="shared" si="0"/>
        <v>3.5985344150745879E-7</v>
      </c>
      <c r="E13" s="4">
        <f t="shared" si="9"/>
        <v>359.8534415074588</v>
      </c>
      <c r="F13" s="4">
        <f t="shared" si="1"/>
        <v>179.9267207537294</v>
      </c>
      <c r="G13" s="4">
        <f t="shared" si="12"/>
        <v>1.799267207537294</v>
      </c>
      <c r="H13" s="4">
        <f t="shared" si="10"/>
        <v>98.200732792462702</v>
      </c>
      <c r="I13" s="4">
        <v>15</v>
      </c>
      <c r="K13" s="7">
        <f t="shared" si="2"/>
        <v>1.7876245672594478E-4</v>
      </c>
      <c r="L13" s="7">
        <f t="shared" si="3"/>
        <v>6.2126386939532777E-5</v>
      </c>
      <c r="M13" s="7">
        <f t="shared" si="4"/>
        <v>2.2688579877227187E-6</v>
      </c>
      <c r="N13" s="7">
        <f t="shared" si="5"/>
        <v>5.9641931955601912E-8</v>
      </c>
      <c r="O13" s="7">
        <f t="shared" si="6"/>
        <v>6.0235311216229128E-8</v>
      </c>
      <c r="Q13" s="5">
        <f t="shared" si="11"/>
        <v>2.432775788963721E-4</v>
      </c>
    </row>
    <row r="14" spans="1:17" ht="15.5">
      <c r="A14" s="4">
        <v>0.12</v>
      </c>
      <c r="B14" s="4">
        <f t="shared" si="7"/>
        <v>0.09</v>
      </c>
      <c r="C14" s="4">
        <f t="shared" si="8"/>
        <v>8.9999999999999992E-5</v>
      </c>
      <c r="D14" s="4">
        <f t="shared" si="0"/>
        <v>3.9256739073540955E-7</v>
      </c>
      <c r="E14" s="4">
        <f t="shared" si="9"/>
        <v>392.56739073540956</v>
      </c>
      <c r="F14" s="4">
        <f t="shared" si="1"/>
        <v>196.28369536770478</v>
      </c>
      <c r="G14" s="4">
        <f t="shared" si="12"/>
        <v>1.9628369536770478</v>
      </c>
      <c r="H14" s="4">
        <f t="shared" si="10"/>
        <v>98.037163046322945</v>
      </c>
      <c r="I14" s="4">
        <v>15</v>
      </c>
      <c r="K14" s="7">
        <f t="shared" si="2"/>
        <v>1.9639889072240187E-4</v>
      </c>
      <c r="L14" s="7">
        <f t="shared" si="3"/>
        <v>6.9775474326138983E-5</v>
      </c>
      <c r="M14" s="7">
        <f t="shared" si="4"/>
        <v>2.6073143503497879E-6</v>
      </c>
      <c r="N14" s="7">
        <f t="shared" si="5"/>
        <v>6.9746018427387368E-8</v>
      </c>
      <c r="O14" s="7">
        <f t="shared" si="6"/>
        <v>7.0452131133715665E-8</v>
      </c>
      <c r="Q14" s="5">
        <f t="shared" si="11"/>
        <v>2.6892187754845175E-4</v>
      </c>
    </row>
    <row r="15" spans="1:17" ht="15.5">
      <c r="A15" s="4">
        <v>0.13</v>
      </c>
      <c r="B15" s="4">
        <f t="shared" si="7"/>
        <v>9.7500000000000003E-2</v>
      </c>
      <c r="C15" s="4">
        <f t="shared" si="8"/>
        <v>9.7499999999999998E-5</v>
      </c>
      <c r="D15" s="4">
        <f t="shared" si="0"/>
        <v>4.2528133996336037E-7</v>
      </c>
      <c r="E15" s="4">
        <f t="shared" si="9"/>
        <v>425.28133996336038</v>
      </c>
      <c r="F15" s="4">
        <f t="shared" si="1"/>
        <v>212.64066998168019</v>
      </c>
      <c r="G15" s="4">
        <f t="shared" si="12"/>
        <v>2.1264066998168021</v>
      </c>
      <c r="H15" s="4">
        <f t="shared" si="10"/>
        <v>97.873593300183202</v>
      </c>
      <c r="I15" s="4">
        <v>15</v>
      </c>
      <c r="K15" s="7">
        <f t="shared" si="2"/>
        <v>2.1418564594891153E-4</v>
      </c>
      <c r="L15" s="7">
        <f t="shared" si="3"/>
        <v>7.780021553025374E-5</v>
      </c>
      <c r="M15" s="7">
        <f t="shared" si="4"/>
        <v>2.9748139404966184E-6</v>
      </c>
      <c r="N15" s="7">
        <f t="shared" si="5"/>
        <v>8.0983658633009264E-8</v>
      </c>
      <c r="O15" s="7">
        <f t="shared" si="6"/>
        <v>8.1818035957299636E-8</v>
      </c>
      <c r="Q15" s="5">
        <f t="shared" si="11"/>
        <v>2.9512347711425224E-4</v>
      </c>
    </row>
    <row r="16" spans="1:17" ht="15.5">
      <c r="A16" s="4">
        <v>0.14000000000000001</v>
      </c>
      <c r="B16" s="4">
        <f t="shared" si="7"/>
        <v>0.10500000000000001</v>
      </c>
      <c r="C16" s="4">
        <f t="shared" si="8"/>
        <v>1.05E-4</v>
      </c>
      <c r="D16" s="4">
        <f t="shared" si="0"/>
        <v>4.5799528919131119E-7</v>
      </c>
      <c r="E16" s="4">
        <f t="shared" si="9"/>
        <v>457.9952891913112</v>
      </c>
      <c r="F16" s="4">
        <f t="shared" si="1"/>
        <v>228.9976445956556</v>
      </c>
      <c r="G16" s="4">
        <f t="shared" si="12"/>
        <v>2.2899764459565559</v>
      </c>
      <c r="H16" s="4">
        <f t="shared" si="10"/>
        <v>97.710023554043445</v>
      </c>
      <c r="I16" s="4">
        <v>15</v>
      </c>
      <c r="K16" s="7">
        <f t="shared" si="2"/>
        <v>2.3210111372760659E-4</v>
      </c>
      <c r="L16" s="7">
        <f t="shared" si="3"/>
        <v>8.6210109305334454E-5</v>
      </c>
      <c r="M16" s="7">
        <f t="shared" si="4"/>
        <v>3.3732940339494174E-6</v>
      </c>
      <c r="N16" s="7">
        <f t="shared" si="5"/>
        <v>9.3461509740700692E-8</v>
      </c>
      <c r="O16" s="7">
        <f t="shared" si="6"/>
        <v>9.4441550938038659E-8</v>
      </c>
      <c r="Q16" s="5">
        <f t="shared" si="11"/>
        <v>3.2187242012756914E-4</v>
      </c>
    </row>
    <row r="17" spans="1:17" ht="15.5">
      <c r="A17" s="4">
        <v>0.15</v>
      </c>
      <c r="B17" s="4">
        <f t="shared" si="7"/>
        <v>0.11249999999999999</v>
      </c>
      <c r="C17" s="4">
        <f t="shared" si="8"/>
        <v>1.1249999999999998E-4</v>
      </c>
      <c r="D17" s="4">
        <f t="shared" si="0"/>
        <v>4.907092384192619E-7</v>
      </c>
      <c r="E17" s="4">
        <f t="shared" si="9"/>
        <v>490.70923841926191</v>
      </c>
      <c r="F17" s="4">
        <f t="shared" si="1"/>
        <v>245.35461920963095</v>
      </c>
      <c r="G17" s="4">
        <f t="shared" si="12"/>
        <v>2.4535461920963098</v>
      </c>
      <c r="H17" s="4">
        <f t="shared" si="10"/>
        <v>97.546453807903688</v>
      </c>
      <c r="I17" s="4">
        <v>15</v>
      </c>
      <c r="K17" s="7">
        <f t="shared" si="2"/>
        <v>2.5012287133369961E-4</v>
      </c>
      <c r="L17" s="7">
        <f t="shared" si="3"/>
        <v>9.5014527563147744E-5</v>
      </c>
      <c r="M17" s="7">
        <f t="shared" si="4"/>
        <v>3.8047940480610063E-6</v>
      </c>
      <c r="N17" s="7">
        <f t="shared" si="5"/>
        <v>1.0729505996946029E-7</v>
      </c>
      <c r="O17" s="7">
        <f t="shared" si="6"/>
        <v>1.0844023810141798E-7</v>
      </c>
      <c r="Q17" s="5">
        <f t="shared" si="11"/>
        <v>3.4915792824297923E-4</v>
      </c>
    </row>
    <row r="18" spans="1:17" ht="15.5">
      <c r="A18" s="4">
        <v>0.16</v>
      </c>
      <c r="B18" s="4">
        <f t="shared" si="7"/>
        <v>0.12</v>
      </c>
      <c r="C18" s="4">
        <f t="shared" si="8"/>
        <v>1.1999999999999999E-4</v>
      </c>
      <c r="D18" s="4">
        <f t="shared" si="0"/>
        <v>5.2342318764721277E-7</v>
      </c>
      <c r="E18" s="4">
        <f t="shared" si="9"/>
        <v>523.42318764721279</v>
      </c>
      <c r="F18" s="4">
        <f t="shared" si="1"/>
        <v>261.71159382360639</v>
      </c>
      <c r="G18" s="4">
        <f t="shared" si="12"/>
        <v>2.617115938236064</v>
      </c>
      <c r="H18" s="4">
        <f t="shared" si="10"/>
        <v>97.382884061763932</v>
      </c>
      <c r="I18" s="4">
        <v>15</v>
      </c>
      <c r="K18" s="7">
        <f t="shared" si="2"/>
        <v>2.6822770431401304E-4</v>
      </c>
      <c r="L18" s="7">
        <f t="shared" si="3"/>
        <v>1.0422269193684142E-4</v>
      </c>
      <c r="M18" s="7">
        <f t="shared" si="4"/>
        <v>4.2714592821610099E-6</v>
      </c>
      <c r="N18" s="7">
        <f t="shared" si="5"/>
        <v>1.2260927189787577E-7</v>
      </c>
      <c r="O18" s="7">
        <f t="shared" si="6"/>
        <v>1.239413605724108E-7</v>
      </c>
      <c r="Q18" s="5">
        <f t="shared" si="11"/>
        <v>3.7696840616548578E-4</v>
      </c>
    </row>
    <row r="19" spans="1:17" ht="15.5">
      <c r="A19" s="4">
        <v>0.17</v>
      </c>
      <c r="B19" s="4">
        <f t="shared" si="7"/>
        <v>0.1275</v>
      </c>
      <c r="C19" s="4">
        <f t="shared" si="8"/>
        <v>1.2750000000000001E-4</v>
      </c>
      <c r="D19" s="4">
        <f t="shared" si="0"/>
        <v>5.5613713687516364E-7</v>
      </c>
      <c r="E19" s="4">
        <f t="shared" si="9"/>
        <v>556.13713687516361</v>
      </c>
      <c r="F19" s="4">
        <f t="shared" si="1"/>
        <v>278.0685684375818</v>
      </c>
      <c r="G19" s="4">
        <f t="shared" si="12"/>
        <v>2.7806856843758179</v>
      </c>
      <c r="H19" s="4">
        <f t="shared" si="10"/>
        <v>97.219314315624189</v>
      </c>
      <c r="I19" s="4">
        <v>15</v>
      </c>
      <c r="K19" s="7">
        <f t="shared" si="2"/>
        <v>2.8639163118503077E-4</v>
      </c>
      <c r="L19" s="7">
        <f t="shared" si="3"/>
        <v>1.1384364960566669E-4</v>
      </c>
      <c r="M19" s="7">
        <f t="shared" si="4"/>
        <v>4.7755446855798936E-6</v>
      </c>
      <c r="N19" s="7">
        <f t="shared" si="5"/>
        <v>1.3953926564254752E-7</v>
      </c>
      <c r="O19" s="7">
        <f t="shared" si="6"/>
        <v>1.410825887590356E-7</v>
      </c>
      <c r="Q19" s="5">
        <f t="shared" si="11"/>
        <v>4.0529144733067891E-4</v>
      </c>
    </row>
    <row r="20" spans="1:17" ht="15.5">
      <c r="A20" s="4">
        <v>0.18</v>
      </c>
      <c r="B20" s="4">
        <f t="shared" si="7"/>
        <v>0.13500000000000001</v>
      </c>
      <c r="C20" s="4">
        <f t="shared" si="8"/>
        <v>1.35E-4</v>
      </c>
      <c r="D20" s="4">
        <f t="shared" si="0"/>
        <v>5.8885108610311441E-7</v>
      </c>
      <c r="E20" s="4">
        <f t="shared" si="9"/>
        <v>588.85108610311443</v>
      </c>
      <c r="F20" s="4">
        <f t="shared" si="1"/>
        <v>294.42554305155721</v>
      </c>
      <c r="G20" s="4">
        <f t="shared" si="12"/>
        <v>2.9442554305155721</v>
      </c>
      <c r="H20" s="4">
        <f t="shared" si="10"/>
        <v>97.055744569484432</v>
      </c>
      <c r="I20" s="4">
        <v>15</v>
      </c>
      <c r="K20" s="7">
        <f t="shared" si="2"/>
        <v>3.045899305012948E-4</v>
      </c>
      <c r="L20" s="7">
        <f t="shared" si="3"/>
        <v>1.2388624841107974E-4</v>
      </c>
      <c r="M20" s="7">
        <f t="shared" si="4"/>
        <v>5.3194186447631679E-6</v>
      </c>
      <c r="N20" s="7">
        <f t="shared" si="5"/>
        <v>1.5823104381149034E-7</v>
      </c>
      <c r="O20" s="7">
        <f t="shared" si="6"/>
        <v>1.6001275047219407E-7</v>
      </c>
      <c r="Q20" s="5">
        <f t="shared" si="11"/>
        <v>4.3411384135142134E-4</v>
      </c>
    </row>
    <row r="21" spans="1:17" ht="15.5">
      <c r="A21" s="4">
        <v>0.19</v>
      </c>
      <c r="B21" s="4">
        <f t="shared" si="7"/>
        <v>0.14250000000000002</v>
      </c>
      <c r="C21" s="4">
        <f t="shared" si="8"/>
        <v>1.4250000000000002E-4</v>
      </c>
      <c r="D21" s="4">
        <f t="shared" si="0"/>
        <v>6.2156503533106528E-7</v>
      </c>
      <c r="E21" s="4">
        <f t="shared" si="9"/>
        <v>621.56503533106525</v>
      </c>
      <c r="F21" s="4">
        <f t="shared" si="1"/>
        <v>310.78251766553262</v>
      </c>
      <c r="G21" s="4">
        <f t="shared" si="12"/>
        <v>3.1078251766553264</v>
      </c>
      <c r="H21" s="4">
        <f t="shared" si="10"/>
        <v>96.892174823344675</v>
      </c>
      <c r="I21" s="4">
        <v>15</v>
      </c>
      <c r="K21" s="7">
        <f t="shared" si="2"/>
        <v>3.2279717027734723E-4</v>
      </c>
      <c r="L21" s="7">
        <f t="shared" si="3"/>
        <v>1.343591112973285E-4</v>
      </c>
      <c r="M21" s="7">
        <f t="shared" si="4"/>
        <v>5.9055667802661861E-6</v>
      </c>
      <c r="N21" s="7">
        <f t="shared" si="5"/>
        <v>1.788422601829927E-7</v>
      </c>
      <c r="O21" s="7">
        <f t="shared" si="6"/>
        <v>1.8089262711805085E-7</v>
      </c>
      <c r="Q21" s="5">
        <f t="shared" si="11"/>
        <v>4.6342158324224291E-4</v>
      </c>
    </row>
    <row r="22" spans="1:17" ht="15.5">
      <c r="A22" s="4">
        <v>0.2</v>
      </c>
      <c r="B22" s="4">
        <f t="shared" si="7"/>
        <v>0.15000000000000002</v>
      </c>
      <c r="C22" s="4">
        <f t="shared" si="8"/>
        <v>1.5000000000000001E-4</v>
      </c>
      <c r="D22" s="4">
        <f t="shared" si="0"/>
        <v>6.5427898455901604E-7</v>
      </c>
      <c r="E22" s="4">
        <f t="shared" si="9"/>
        <v>654.27898455901607</v>
      </c>
      <c r="F22" s="4">
        <f t="shared" si="1"/>
        <v>327.13949227950803</v>
      </c>
      <c r="G22" s="4">
        <f t="shared" si="12"/>
        <v>3.2713949227950803</v>
      </c>
      <c r="H22" s="4">
        <f t="shared" si="10"/>
        <v>96.728605077204918</v>
      </c>
      <c r="I22" s="4">
        <v>15</v>
      </c>
      <c r="K22" s="7">
        <f t="shared" si="2"/>
        <v>3.4098723973880558E-4</v>
      </c>
      <c r="L22" s="7">
        <f t="shared" si="3"/>
        <v>1.4527061011310034E-4</v>
      </c>
      <c r="M22" s="7">
        <f t="shared" si="4"/>
        <v>6.5365957437185115E-6</v>
      </c>
      <c r="N22" s="7">
        <f t="shared" si="5"/>
        <v>2.0154303410264008E-7</v>
      </c>
      <c r="O22" s="7">
        <f t="shared" si="6"/>
        <v>2.038957981556986E-7</v>
      </c>
      <c r="Q22" s="5">
        <f t="shared" si="11"/>
        <v>4.9319988442788265E-4</v>
      </c>
    </row>
    <row r="23" spans="1:17" ht="15.5">
      <c r="A23" s="4">
        <v>0.21</v>
      </c>
      <c r="B23" s="4">
        <f t="shared" si="7"/>
        <v>0.1575</v>
      </c>
      <c r="C23" s="4">
        <f t="shared" si="8"/>
        <v>1.5750000000000001E-4</v>
      </c>
      <c r="D23" s="4">
        <f t="shared" si="0"/>
        <v>6.8699293378696681E-7</v>
      </c>
      <c r="E23" s="4">
        <f t="shared" si="9"/>
        <v>686.99293378696677</v>
      </c>
      <c r="F23" s="4">
        <f t="shared" si="1"/>
        <v>343.49646689348339</v>
      </c>
      <c r="G23" s="4">
        <f t="shared" si="12"/>
        <v>3.4349646689348341</v>
      </c>
      <c r="H23" s="4">
        <f t="shared" si="10"/>
        <v>96.565035331065161</v>
      </c>
      <c r="I23" s="4">
        <v>15</v>
      </c>
      <c r="K23" s="7">
        <f t="shared" si="2"/>
        <v>3.5913338337028119E-4</v>
      </c>
      <c r="L23" s="7">
        <f t="shared" si="3"/>
        <v>1.5662883881422732E-4</v>
      </c>
      <c r="M23" s="7">
        <f t="shared" si="4"/>
        <v>7.215237004128981E-6</v>
      </c>
      <c r="N23" s="7">
        <f t="shared" si="5"/>
        <v>2.2651681262980316E-7</v>
      </c>
      <c r="O23" s="7">
        <f t="shared" si="6"/>
        <v>2.2920953606663855E-7</v>
      </c>
      <c r="Q23" s="5">
        <f t="shared" si="11"/>
        <v>5.2343318553733388E-4</v>
      </c>
    </row>
    <row r="24" spans="1:17" ht="15.5">
      <c r="A24" s="4">
        <v>0.22</v>
      </c>
      <c r="B24" s="4">
        <f t="shared" si="7"/>
        <v>0.16500000000000001</v>
      </c>
      <c r="C24" s="4">
        <f t="shared" si="8"/>
        <v>1.65E-4</v>
      </c>
      <c r="D24" s="4">
        <f t="shared" si="0"/>
        <v>7.1970688301491757E-7</v>
      </c>
      <c r="E24" s="4">
        <f t="shared" si="9"/>
        <v>719.70688301491759</v>
      </c>
      <c r="F24" s="4">
        <f t="shared" si="1"/>
        <v>359.8534415074588</v>
      </c>
      <c r="G24" s="4">
        <f t="shared" si="12"/>
        <v>3.5985344150745879</v>
      </c>
      <c r="H24" s="4">
        <f t="shared" si="10"/>
        <v>96.401465584925418</v>
      </c>
      <c r="I24" s="4">
        <v>15</v>
      </c>
      <c r="K24" s="7">
        <f t="shared" si="2"/>
        <v>3.7720823722008941E-4</v>
      </c>
      <c r="L24" s="7">
        <f t="shared" si="3"/>
        <v>1.6844158611093005E-4</v>
      </c>
      <c r="M24" s="7">
        <f t="shared" si="4"/>
        <v>7.9443506121756963E-6</v>
      </c>
      <c r="N24" s="7">
        <f t="shared" si="5"/>
        <v>2.539612824997312E-7</v>
      </c>
      <c r="O24" s="7">
        <f t="shared" si="6"/>
        <v>2.5703575413360508E-7</v>
      </c>
      <c r="Q24" s="5">
        <f t="shared" si="11"/>
        <v>5.5410517097982854E-4</v>
      </c>
    </row>
    <row r="25" spans="1:17" ht="15.5">
      <c r="A25" s="4">
        <v>0.23</v>
      </c>
      <c r="B25" s="4">
        <f t="shared" si="7"/>
        <v>0.17250000000000001</v>
      </c>
      <c r="C25" s="4">
        <f t="shared" si="8"/>
        <v>1.7250000000000002E-4</v>
      </c>
      <c r="D25" s="4">
        <f t="shared" si="0"/>
        <v>7.5242083224286844E-7</v>
      </c>
      <c r="E25" s="4">
        <f t="shared" si="9"/>
        <v>752.42083224286841</v>
      </c>
      <c r="F25" s="4">
        <f t="shared" si="1"/>
        <v>376.21041612143421</v>
      </c>
      <c r="G25" s="4">
        <f t="shared" si="12"/>
        <v>3.7621041612143422</v>
      </c>
      <c r="H25" s="4">
        <f t="shared" si="10"/>
        <v>96.237895838785661</v>
      </c>
      <c r="I25" s="4">
        <v>15</v>
      </c>
      <c r="K25" s="7">
        <f t="shared" si="2"/>
        <v>3.9518386741376594E-4</v>
      </c>
      <c r="L25" s="7">
        <f t="shared" si="3"/>
        <v>1.807163076065475E-4</v>
      </c>
      <c r="M25" s="7">
        <f t="shared" si="4"/>
        <v>8.7269289303846749E-6</v>
      </c>
      <c r="N25" s="7">
        <f t="shared" si="5"/>
        <v>2.8408933399758206E-7</v>
      </c>
      <c r="O25" s="7">
        <f t="shared" si="6"/>
        <v>2.8759200937364103E-7</v>
      </c>
      <c r="Q25" s="5">
        <f t="shared" si="11"/>
        <v>5.8519878529406935E-4</v>
      </c>
    </row>
    <row r="26" spans="1:17" ht="15.5">
      <c r="A26" s="4">
        <v>0.24</v>
      </c>
      <c r="B26" s="4">
        <f t="shared" si="7"/>
        <v>0.18</v>
      </c>
      <c r="C26" s="4">
        <f t="shared" si="8"/>
        <v>1.7999999999999998E-4</v>
      </c>
      <c r="D26" s="4">
        <f t="shared" si="0"/>
        <v>7.851347814708191E-7</v>
      </c>
      <c r="E26" s="4">
        <f t="shared" si="9"/>
        <v>785.13478147081912</v>
      </c>
      <c r="F26" s="4">
        <f t="shared" si="1"/>
        <v>392.56739073540956</v>
      </c>
      <c r="G26" s="4">
        <f t="shared" si="12"/>
        <v>3.9256739073540956</v>
      </c>
      <c r="H26" s="4">
        <f t="shared" si="10"/>
        <v>96.074326092645904</v>
      </c>
      <c r="I26" s="4">
        <v>15</v>
      </c>
      <c r="K26" s="7">
        <f t="shared" si="2"/>
        <v>4.1303181082056754E-4</v>
      </c>
      <c r="L26" s="7">
        <f t="shared" si="3"/>
        <v>1.9346009747811107E-4</v>
      </c>
      <c r="M26" s="7">
        <f t="shared" si="4"/>
        <v>9.5661003163550132E-6</v>
      </c>
      <c r="N26" s="7">
        <f t="shared" si="5"/>
        <v>3.1713007886601676E-7</v>
      </c>
      <c r="O26" s="7">
        <f t="shared" si="6"/>
        <v>3.2111256301387692E-7</v>
      </c>
      <c r="Q26" s="5">
        <f t="shared" si="11"/>
        <v>6.1669625125691341E-4</v>
      </c>
    </row>
    <row r="27" spans="1:17" ht="15.5">
      <c r="A27" s="4">
        <v>0.25</v>
      </c>
      <c r="B27" s="4">
        <f t="shared" si="7"/>
        <v>0.1875</v>
      </c>
      <c r="C27" s="4">
        <f t="shared" si="8"/>
        <v>1.875E-4</v>
      </c>
      <c r="D27" s="4">
        <f t="shared" si="0"/>
        <v>8.1784873069876997E-7</v>
      </c>
      <c r="E27" s="4">
        <f t="shared" si="9"/>
        <v>817.84873069876994</v>
      </c>
      <c r="F27" s="4">
        <f t="shared" si="1"/>
        <v>408.92436534938497</v>
      </c>
      <c r="G27" s="4">
        <f t="shared" si="12"/>
        <v>4.0892436534938499</v>
      </c>
      <c r="H27" s="4">
        <f t="shared" si="10"/>
        <v>95.910756346506147</v>
      </c>
      <c r="I27" s="4">
        <v>15</v>
      </c>
      <c r="K27" s="7">
        <f t="shared" si="2"/>
        <v>4.3072311780929416E-4</v>
      </c>
      <c r="L27" s="7">
        <f t="shared" si="3"/>
        <v>2.0667965975259189E-4</v>
      </c>
      <c r="M27" s="7">
        <f t="shared" si="4"/>
        <v>1.0465132745436383E-5</v>
      </c>
      <c r="N27" s="7">
        <f t="shared" si="5"/>
        <v>3.533299243877001E-7</v>
      </c>
      <c r="O27" s="7">
        <f t="shared" si="6"/>
        <v>3.5784950093754681E-7</v>
      </c>
      <c r="Q27" s="5">
        <f t="shared" si="11"/>
        <v>6.4857908973264768E-4</v>
      </c>
    </row>
    <row r="28" spans="1:17" ht="15.5">
      <c r="A28" s="4">
        <v>0.26</v>
      </c>
      <c r="B28" s="4">
        <f t="shared" si="7"/>
        <v>0.19500000000000001</v>
      </c>
      <c r="C28" s="4">
        <f t="shared" si="8"/>
        <v>1.95E-4</v>
      </c>
      <c r="D28" s="4">
        <f t="shared" si="0"/>
        <v>8.5056267992672074E-7</v>
      </c>
      <c r="E28" s="4">
        <f t="shared" si="9"/>
        <v>850.56267992672076</v>
      </c>
      <c r="F28" s="4">
        <f t="shared" si="1"/>
        <v>425.28133996336038</v>
      </c>
      <c r="G28" s="4">
        <f t="shared" si="12"/>
        <v>4.2528133996336042</v>
      </c>
      <c r="H28" s="4">
        <f t="shared" si="10"/>
        <v>95.747186600366391</v>
      </c>
      <c r="I28" s="4">
        <v>15</v>
      </c>
      <c r="K28" s="7">
        <f t="shared" si="2"/>
        <v>4.4822839702196078E-4</v>
      </c>
      <c r="L28" s="7">
        <f t="shared" si="3"/>
        <v>2.2038127923596295E-4</v>
      </c>
      <c r="M28" s="7">
        <f t="shared" si="4"/>
        <v>1.1427437358509159E-5</v>
      </c>
      <c r="N28" s="7">
        <f t="shared" si="5"/>
        <v>3.9295370579746487E-7</v>
      </c>
      <c r="O28" s="7">
        <f t="shared" si="6"/>
        <v>3.9807391656171565E-7</v>
      </c>
      <c r="Q28" s="5">
        <f t="shared" si="11"/>
        <v>6.8082814123879211E-4</v>
      </c>
    </row>
    <row r="29" spans="1:17" ht="15.5">
      <c r="A29" s="4">
        <v>0.27</v>
      </c>
      <c r="B29" s="4">
        <f t="shared" si="7"/>
        <v>0.20250000000000001</v>
      </c>
      <c r="C29" s="4">
        <f t="shared" si="8"/>
        <v>2.0250000000000002E-4</v>
      </c>
      <c r="D29" s="4">
        <f t="shared" si="0"/>
        <v>8.8327662915467161E-7</v>
      </c>
      <c r="E29" s="4">
        <f t="shared" si="9"/>
        <v>883.27662915467158</v>
      </c>
      <c r="F29" s="4">
        <f t="shared" si="1"/>
        <v>441.63831457733579</v>
      </c>
      <c r="G29" s="4">
        <f t="shared" si="12"/>
        <v>4.4163831457733584</v>
      </c>
      <c r="H29" s="4">
        <f t="shared" si="10"/>
        <v>95.583616854226648</v>
      </c>
      <c r="I29" s="4">
        <v>15</v>
      </c>
      <c r="K29" s="7">
        <f t="shared" si="2"/>
        <v>4.6551786208621159E-4</v>
      </c>
      <c r="L29" s="7">
        <f t="shared" si="3"/>
        <v>2.3457079215555797E-4</v>
      </c>
      <c r="M29" s="7">
        <f t="shared" si="4"/>
        <v>1.2456571919763791E-5</v>
      </c>
      <c r="N29" s="7">
        <f t="shared" si="5"/>
        <v>4.3628587918571116E-7</v>
      </c>
      <c r="O29" s="7">
        <f t="shared" si="6"/>
        <v>4.4207715863674433E-7</v>
      </c>
      <c r="Q29" s="5">
        <f t="shared" si="11"/>
        <v>7.1342358919935578E-4</v>
      </c>
    </row>
    <row r="30" spans="1:17" ht="15.5">
      <c r="A30" s="4">
        <v>0.28000000000000003</v>
      </c>
      <c r="B30" s="4">
        <f t="shared" si="7"/>
        <v>0.21000000000000002</v>
      </c>
      <c r="C30" s="4">
        <f t="shared" si="8"/>
        <v>2.1000000000000001E-4</v>
      </c>
      <c r="D30" s="4">
        <f t="shared" si="0"/>
        <v>9.1599057838262238E-7</v>
      </c>
      <c r="E30" s="4">
        <f t="shared" si="9"/>
        <v>915.9905783826224</v>
      </c>
      <c r="F30" s="4">
        <f t="shared" si="1"/>
        <v>457.9952891913112</v>
      </c>
      <c r="G30" s="4">
        <f t="shared" si="12"/>
        <v>4.5799528919131118</v>
      </c>
      <c r="H30" s="4">
        <f t="shared" si="10"/>
        <v>95.420047108086891</v>
      </c>
      <c r="I30" s="4">
        <v>15</v>
      </c>
      <c r="K30" s="7">
        <f t="shared" si="2"/>
        <v>4.8256138017977428E-4</v>
      </c>
      <c r="L30" s="7">
        <f t="shared" si="3"/>
        <v>2.4925355657945224E-4</v>
      </c>
      <c r="M30" s="7">
        <f t="shared" si="4"/>
        <v>1.3556244168624154E-5</v>
      </c>
      <c r="N30" s="7">
        <f t="shared" si="5"/>
        <v>4.8363177705375322E-7</v>
      </c>
      <c r="O30" s="7">
        <f t="shared" si="6"/>
        <v>4.9017214647965099E-7</v>
      </c>
      <c r="Q30" s="5">
        <f t="shared" si="11"/>
        <v>7.4634498485138406E-4</v>
      </c>
    </row>
    <row r="31" spans="1:17" ht="15.5">
      <c r="A31" s="4">
        <v>0.28999999999999998</v>
      </c>
      <c r="B31" s="4">
        <f t="shared" si="7"/>
        <v>0.21749999999999997</v>
      </c>
      <c r="C31" s="4">
        <f t="shared" si="8"/>
        <v>2.1749999999999997E-4</v>
      </c>
      <c r="D31" s="4">
        <f t="shared" si="0"/>
        <v>9.4870452761057303E-7</v>
      </c>
      <c r="E31" s="4">
        <f t="shared" si="9"/>
        <v>948.704527610573</v>
      </c>
      <c r="F31" s="4">
        <f t="shared" si="1"/>
        <v>474.3522638052865</v>
      </c>
      <c r="G31" s="4">
        <f t="shared" si="12"/>
        <v>4.7435226380528652</v>
      </c>
      <c r="H31" s="4">
        <f t="shared" si="10"/>
        <v>95.256477361947134</v>
      </c>
      <c r="I31" s="4">
        <v>15</v>
      </c>
      <c r="K31" s="7">
        <f t="shared" si="2"/>
        <v>4.9932852235285742E-4</v>
      </c>
      <c r="L31" s="7">
        <f t="shared" si="3"/>
        <v>2.6443442267970279E-4</v>
      </c>
      <c r="M31" s="7">
        <f t="shared" si="4"/>
        <v>1.4730315049216691E-5</v>
      </c>
      <c r="N31" s="7">
        <f t="shared" si="5"/>
        <v>5.3531892867304723E-7</v>
      </c>
      <c r="O31" s="7">
        <f t="shared" si="6"/>
        <v>5.4269475516903912E-7</v>
      </c>
      <c r="Q31" s="5">
        <f t="shared" si="11"/>
        <v>7.7957127376561896E-4</v>
      </c>
    </row>
    <row r="32" spans="1:17" ht="15.5">
      <c r="A32" s="4">
        <v>0.3</v>
      </c>
      <c r="B32" s="4">
        <f t="shared" si="7"/>
        <v>0.22499999999999998</v>
      </c>
      <c r="C32" s="4">
        <f t="shared" si="8"/>
        <v>2.2499999999999997E-4</v>
      </c>
      <c r="D32" s="4">
        <f t="shared" si="0"/>
        <v>9.814184768385238E-7</v>
      </c>
      <c r="E32" s="4">
        <f t="shared" si="9"/>
        <v>981.41847683852382</v>
      </c>
      <c r="F32" s="4">
        <f t="shared" si="1"/>
        <v>490.70923841926191</v>
      </c>
      <c r="G32" s="4">
        <f t="shared" si="12"/>
        <v>4.9070923841926195</v>
      </c>
      <c r="H32" s="4">
        <f t="shared" si="10"/>
        <v>95.092907615807377</v>
      </c>
      <c r="I32" s="4">
        <v>15</v>
      </c>
      <c r="K32" s="7">
        <f t="shared" si="2"/>
        <v>5.1578861550723642E-4</v>
      </c>
      <c r="L32" s="7">
        <f t="shared" si="3"/>
        <v>2.8011770290937575E-4</v>
      </c>
      <c r="M32" s="7">
        <f t="shared" si="4"/>
        <v>1.5982801800050335E-5</v>
      </c>
      <c r="N32" s="7">
        <f t="shared" si="5"/>
        <v>5.9169844738245768E-7</v>
      </c>
      <c r="O32" s="7">
        <f t="shared" si="6"/>
        <v>6.0000527323713623E-7</v>
      </c>
      <c r="Q32" s="5">
        <f t="shared" si="11"/>
        <v>8.130808239372821E-4</v>
      </c>
    </row>
    <row r="33" spans="1:17" ht="15.5">
      <c r="A33" s="4">
        <v>0.31</v>
      </c>
      <c r="B33" s="4">
        <f t="shared" si="7"/>
        <v>0.23249999999999998</v>
      </c>
      <c r="C33" s="4">
        <f t="shared" si="8"/>
        <v>2.3249999999999999E-4</v>
      </c>
      <c r="D33" s="4">
        <f t="shared" si="0"/>
        <v>1.0141324260664748E-6</v>
      </c>
      <c r="E33" s="4">
        <f t="shared" si="9"/>
        <v>1014.1324260664747</v>
      </c>
      <c r="F33" s="4">
        <f t="shared" si="1"/>
        <v>507.06621303323737</v>
      </c>
      <c r="G33" s="4">
        <f t="shared" si="12"/>
        <v>5.0706621303323738</v>
      </c>
      <c r="H33" s="4">
        <f t="shared" si="10"/>
        <v>94.92933786966762</v>
      </c>
      <c r="I33" s="4">
        <v>15</v>
      </c>
      <c r="K33" s="7">
        <f t="shared" si="2"/>
        <v>5.3191079592372116E-4</v>
      </c>
      <c r="L33" s="7">
        <f t="shared" si="3"/>
        <v>2.9630714216618295E-4</v>
      </c>
      <c r="M33" s="7">
        <f t="shared" si="4"/>
        <v>1.731788088585568E-5</v>
      </c>
      <c r="N33" s="7">
        <f t="shared" si="5"/>
        <v>6.5314648693057454E-7</v>
      </c>
      <c r="O33" s="7">
        <f t="shared" si="6"/>
        <v>6.6248993539437147E-7</v>
      </c>
      <c r="Q33" s="5">
        <f t="shared" si="11"/>
        <v>8.4685145539808472E-4</v>
      </c>
    </row>
    <row r="34" spans="1:17" ht="15.5">
      <c r="A34" s="4">
        <v>0.32</v>
      </c>
      <c r="B34" s="4">
        <f t="shared" si="7"/>
        <v>0.24</v>
      </c>
      <c r="C34" s="4">
        <f t="shared" si="8"/>
        <v>2.3999999999999998E-4</v>
      </c>
      <c r="D34" s="4">
        <f t="shared" si="0"/>
        <v>1.0468463752944255E-6</v>
      </c>
      <c r="E34" s="4">
        <f t="shared" si="9"/>
        <v>1046.8463752944256</v>
      </c>
      <c r="F34" s="4">
        <f t="shared" si="1"/>
        <v>523.42318764721279</v>
      </c>
      <c r="G34" s="4">
        <f t="shared" si="12"/>
        <v>5.2342318764721281</v>
      </c>
      <c r="H34" s="4">
        <f t="shared" si="10"/>
        <v>94.765768123527877</v>
      </c>
      <c r="I34" s="4">
        <v>15</v>
      </c>
      <c r="K34" s="7">
        <f t="shared" si="2"/>
        <v>5.4766406422302003E-4</v>
      </c>
      <c r="L34" s="7">
        <f t="shared" si="3"/>
        <v>3.1300588801834065E-4</v>
      </c>
      <c r="M34" s="7">
        <f t="shared" si="4"/>
        <v>1.8739890752825556E-5</v>
      </c>
      <c r="N34" s="7">
        <f t="shared" si="5"/>
        <v>7.2006576893249943E-7</v>
      </c>
      <c r="O34" s="7">
        <f t="shared" si="6"/>
        <v>7.3056253281280051E-7</v>
      </c>
      <c r="Q34" s="5">
        <f t="shared" si="11"/>
        <v>8.8086047129593155E-4</v>
      </c>
    </row>
    <row r="35" spans="1:17" ht="15.5">
      <c r="A35" s="4">
        <v>0.33</v>
      </c>
      <c r="B35" s="4">
        <f t="shared" si="7"/>
        <v>0.2475</v>
      </c>
      <c r="C35" s="4">
        <f t="shared" si="8"/>
        <v>2.475E-4</v>
      </c>
      <c r="D35" s="4">
        <f t="shared" si="0"/>
        <v>1.0795603245223763E-6</v>
      </c>
      <c r="E35" s="4">
        <f t="shared" si="9"/>
        <v>1079.5603245223763</v>
      </c>
      <c r="F35" s="4">
        <f t="shared" si="1"/>
        <v>539.78016226118814</v>
      </c>
      <c r="G35" s="4">
        <f t="shared" si="12"/>
        <v>5.3978016226118815</v>
      </c>
      <c r="H35" s="4">
        <f t="shared" si="10"/>
        <v>94.60219837738812</v>
      </c>
      <c r="I35" s="4">
        <v>15</v>
      </c>
      <c r="K35" s="7">
        <f t="shared" si="2"/>
        <v>5.6301734163856181E-4</v>
      </c>
      <c r="L35" s="7">
        <f t="shared" si="3"/>
        <v>3.3021646107093944E-4</v>
      </c>
      <c r="M35" s="7">
        <f t="shared" si="4"/>
        <v>2.025333438782232E-5</v>
      </c>
      <c r="N35" s="7">
        <f t="shared" si="5"/>
        <v>7.9288718346206733E-7</v>
      </c>
      <c r="O35" s="7">
        <f t="shared" si="6"/>
        <v>8.0466610347618675E-7</v>
      </c>
      <c r="Q35" s="5">
        <f t="shared" si="11"/>
        <v>9.1508469038426195E-4</v>
      </c>
    </row>
    <row r="36" spans="1:17" ht="15.5">
      <c r="A36" s="4">
        <v>0.34</v>
      </c>
      <c r="B36" s="4">
        <f t="shared" si="7"/>
        <v>0.255</v>
      </c>
      <c r="C36" s="4">
        <f t="shared" si="8"/>
        <v>2.5500000000000002E-4</v>
      </c>
      <c r="D36" s="4">
        <f t="shared" si="0"/>
        <v>1.1122742737503273E-6</v>
      </c>
      <c r="E36" s="4">
        <f t="shared" si="9"/>
        <v>1112.2742737503272</v>
      </c>
      <c r="F36" s="4">
        <f t="shared" si="1"/>
        <v>556.13713687516361</v>
      </c>
      <c r="G36" s="4">
        <f t="shared" si="12"/>
        <v>5.5613713687516357</v>
      </c>
      <c r="H36" s="4">
        <f t="shared" si="10"/>
        <v>94.438628631248363</v>
      </c>
      <c r="I36" s="4">
        <v>15</v>
      </c>
      <c r="K36" s="7">
        <f t="shared" si="2"/>
        <v>5.7793952747369403E-4</v>
      </c>
      <c r="L36" s="7">
        <f t="shared" si="3"/>
        <v>3.4794072555352392E-4</v>
      </c>
      <c r="M36" s="7">
        <f t="shared" si="4"/>
        <v>2.1862881661459303E-5</v>
      </c>
      <c r="N36" s="7">
        <f t="shared" si="5"/>
        <v>8.720714647400347E-7</v>
      </c>
      <c r="O36" s="7">
        <f t="shared" si="6"/>
        <v>8.8527470507558039E-7</v>
      </c>
      <c r="Q36" s="5">
        <f t="shared" ref="Q36:Q41" si="13">SUM(K36:O36)</f>
        <v>9.4950048085849282E-4</v>
      </c>
    </row>
    <row r="37" spans="1:17" ht="15.5">
      <c r="A37" s="4">
        <v>0.35</v>
      </c>
      <c r="B37" s="4">
        <f t="shared" si="7"/>
        <v>0.26249999999999996</v>
      </c>
      <c r="C37" s="4">
        <f t="shared" si="8"/>
        <v>2.6249999999999993E-4</v>
      </c>
      <c r="D37" s="4">
        <f t="shared" si="0"/>
        <v>1.1449882229782776E-6</v>
      </c>
      <c r="E37" s="4">
        <f t="shared" si="9"/>
        <v>1144.9882229782777</v>
      </c>
      <c r="F37" s="4">
        <f t="shared" si="1"/>
        <v>572.49411148913885</v>
      </c>
      <c r="G37" s="4">
        <f t="shared" si="12"/>
        <v>5.7249411148913882</v>
      </c>
      <c r="H37" s="4">
        <f t="shared" si="10"/>
        <v>94.275058885108606</v>
      </c>
      <c r="I37" s="4">
        <v>15</v>
      </c>
      <c r="K37" s="7">
        <f t="shared" si="2"/>
        <v>5.9239955760991491E-4</v>
      </c>
      <c r="L37" s="7">
        <f t="shared" si="3"/>
        <v>3.6617986021196563E-4</v>
      </c>
      <c r="M37" s="7">
        <f t="shared" si="4"/>
        <v>2.3573371434342887E-5</v>
      </c>
      <c r="N37" s="7">
        <f t="shared" si="5"/>
        <v>9.5811094380597808E-7</v>
      </c>
      <c r="O37" s="7">
        <f t="shared" si="6"/>
        <v>9.7289527288946849E-7</v>
      </c>
      <c r="Q37" s="5">
        <f t="shared" si="13"/>
        <v>9.8408379547291884E-4</v>
      </c>
    </row>
    <row r="38" spans="1:17" ht="15.5">
      <c r="A38" s="4">
        <v>0.36</v>
      </c>
      <c r="B38" s="4">
        <f t="shared" si="7"/>
        <v>0.27</v>
      </c>
      <c r="C38" s="4">
        <f t="shared" si="8"/>
        <v>2.7E-4</v>
      </c>
      <c r="D38" s="4">
        <f t="shared" si="0"/>
        <v>1.1777021722062288E-6</v>
      </c>
      <c r="E38" s="4">
        <f t="shared" si="9"/>
        <v>1177.7021722062289</v>
      </c>
      <c r="F38" s="4">
        <f t="shared" si="1"/>
        <v>588.85108610311443</v>
      </c>
      <c r="G38" s="4">
        <f t="shared" si="12"/>
        <v>5.8885108610311443</v>
      </c>
      <c r="H38" s="4">
        <f t="shared" si="10"/>
        <v>94.111489138968849</v>
      </c>
      <c r="I38" s="4">
        <v>15</v>
      </c>
      <c r="K38" s="7">
        <f t="shared" si="2"/>
        <v>6.0636646392738035E-4</v>
      </c>
      <c r="L38" s="7">
        <f t="shared" si="3"/>
        <v>3.8493432958973373E-4</v>
      </c>
      <c r="M38" s="7">
        <f t="shared" si="4"/>
        <v>2.5389813405170656E-5</v>
      </c>
      <c r="N38" s="7">
        <f t="shared" si="5"/>
        <v>1.0515313799751763E-6</v>
      </c>
      <c r="O38" s="7">
        <f t="shared" si="6"/>
        <v>1.0680695650357253E-6</v>
      </c>
      <c r="Q38" s="5">
        <f t="shared" si="13"/>
        <v>1.0188102078672956E-3</v>
      </c>
    </row>
    <row r="39" spans="1:17" ht="15.5">
      <c r="A39" s="4">
        <v>0.37</v>
      </c>
      <c r="B39" s="4">
        <f t="shared" si="7"/>
        <v>0.27749999999999997</v>
      </c>
      <c r="C39" s="4">
        <f t="shared" si="8"/>
        <v>2.7749999999999997E-4</v>
      </c>
      <c r="D39" s="4">
        <f t="shared" si="0"/>
        <v>1.2104161214341794E-6</v>
      </c>
      <c r="E39" s="4">
        <f t="shared" si="9"/>
        <v>1210.4161214341793</v>
      </c>
      <c r="F39" s="4">
        <f t="shared" si="1"/>
        <v>605.20806071708967</v>
      </c>
      <c r="G39" s="4">
        <f t="shared" si="12"/>
        <v>6.0520806071708968</v>
      </c>
      <c r="H39" s="4">
        <f t="shared" si="10"/>
        <v>93.947919392829107</v>
      </c>
      <c r="I39" s="4">
        <v>15</v>
      </c>
      <c r="K39" s="7">
        <f t="shared" si="2"/>
        <v>6.1980943449390573E-4</v>
      </c>
      <c r="L39" s="7">
        <f t="shared" si="3"/>
        <v>4.0420385578561252E-4</v>
      </c>
      <c r="M39" s="7">
        <f t="shared" si="4"/>
        <v>2.7317389678833119E-5</v>
      </c>
      <c r="N39" s="7">
        <f t="shared" si="5"/>
        <v>1.1528938727814214E-6</v>
      </c>
      <c r="O39" s="7">
        <f t="shared" si="6"/>
        <v>1.1713761974184725E-6</v>
      </c>
      <c r="Q39" s="5">
        <f t="shared" si="13"/>
        <v>1.0536549500285511E-3</v>
      </c>
    </row>
    <row r="40" spans="1:17" ht="15.5">
      <c r="A40" s="4">
        <v>0.38</v>
      </c>
      <c r="B40" s="4">
        <f t="shared" si="7"/>
        <v>0.28500000000000003</v>
      </c>
      <c r="C40" s="4">
        <f t="shared" si="8"/>
        <v>2.8500000000000004E-4</v>
      </c>
      <c r="D40" s="4">
        <f t="shared" si="0"/>
        <v>1.2431300706621306E-6</v>
      </c>
      <c r="E40" s="4">
        <f t="shared" si="9"/>
        <v>1243.1300706621305</v>
      </c>
      <c r="F40" s="4">
        <f t="shared" si="1"/>
        <v>621.56503533106525</v>
      </c>
      <c r="G40" s="4">
        <f t="shared" si="12"/>
        <v>6.2156503533106529</v>
      </c>
      <c r="H40" s="4">
        <f t="shared" si="10"/>
        <v>93.78434964668935</v>
      </c>
      <c r="I40" s="4">
        <v>15</v>
      </c>
      <c r="K40" s="7">
        <f t="shared" si="2"/>
        <v>6.326978743741267E-4</v>
      </c>
      <c r="L40" s="7">
        <f t="shared" si="3"/>
        <v>4.2398739077656E-4</v>
      </c>
      <c r="M40" s="7">
        <f t="shared" si="4"/>
        <v>2.9361456032160987E-5</v>
      </c>
      <c r="N40" s="7">
        <f t="shared" si="5"/>
        <v>1.2627968559911278E-6</v>
      </c>
      <c r="O40" s="7">
        <f t="shared" si="6"/>
        <v>1.2834327706152834E-6</v>
      </c>
      <c r="Q40" s="5">
        <f t="shared" si="13"/>
        <v>1.0885929508094539E-3</v>
      </c>
    </row>
    <row r="41" spans="1:17" ht="15.5">
      <c r="A41" s="4">
        <v>0.39</v>
      </c>
      <c r="B41" s="4">
        <f t="shared" si="7"/>
        <v>0.29249999999999998</v>
      </c>
      <c r="C41" s="4">
        <f t="shared" si="8"/>
        <v>2.9250000000000001E-4</v>
      </c>
      <c r="D41" s="4">
        <f t="shared" si="0"/>
        <v>1.2758440198900813E-6</v>
      </c>
      <c r="E41" s="4">
        <f t="shared" si="9"/>
        <v>1275.8440198900814</v>
      </c>
      <c r="F41" s="4">
        <f t="shared" si="1"/>
        <v>637.92200994504071</v>
      </c>
      <c r="G41" s="4">
        <f t="shared" si="12"/>
        <v>6.3792200994504071</v>
      </c>
      <c r="H41" s="4">
        <f t="shared" si="10"/>
        <v>93.620779900549593</v>
      </c>
      <c r="I41" s="4">
        <v>15</v>
      </c>
      <c r="K41" s="7">
        <f t="shared" si="2"/>
        <v>6.4500146690630992E-4</v>
      </c>
      <c r="L41" s="7">
        <f t="shared" si="3"/>
        <v>4.4428308939584084E-4</v>
      </c>
      <c r="M41" s="7">
        <f t="shared" si="4"/>
        <v>3.1527542854504822E-5</v>
      </c>
      <c r="N41" s="7">
        <f t="shared" si="5"/>
        <v>1.3818781751429031E-6</v>
      </c>
      <c r="O41" s="7">
        <f t="shared" si="6"/>
        <v>1.404898090858492E-6</v>
      </c>
      <c r="Q41" s="5">
        <f t="shared" si="13"/>
        <v>1.1235988754226568E-3</v>
      </c>
    </row>
    <row r="42" spans="1:17" ht="15.5">
      <c r="A42" s="4">
        <v>0.4</v>
      </c>
      <c r="B42" s="4">
        <f t="shared" ref="B42:B60" si="14">A42*0.75</f>
        <v>0.30000000000000004</v>
      </c>
      <c r="C42" s="4">
        <f t="shared" ref="C42:C60" si="15">B42/1000</f>
        <v>3.0000000000000003E-4</v>
      </c>
      <c r="D42" s="4">
        <f t="shared" ref="D42:D60" si="16">C42/229.26</f>
        <v>1.3085579691180321E-6</v>
      </c>
      <c r="E42" s="4">
        <f t="shared" ref="E42:E60" si="17">D42*(1000000000)</f>
        <v>1308.5579691180321</v>
      </c>
      <c r="F42" s="4">
        <f t="shared" si="1"/>
        <v>654.27898455901607</v>
      </c>
      <c r="G42" s="4">
        <f t="shared" ref="G42:G60" si="18">F42*0.01</f>
        <v>6.5427898455901605</v>
      </c>
      <c r="H42" s="4">
        <f t="shared" si="10"/>
        <v>93.457210154409836</v>
      </c>
      <c r="I42" s="4">
        <v>15</v>
      </c>
      <c r="K42" s="7">
        <f t="shared" si="2"/>
        <v>6.5669023529070308E-4</v>
      </c>
      <c r="L42" s="7">
        <f t="shared" si="3"/>
        <v>4.6508828305775682E-4</v>
      </c>
      <c r="M42" s="7">
        <f t="shared" si="4"/>
        <v>3.3821355739933022E-5</v>
      </c>
      <c r="N42" s="7">
        <f t="shared" si="5"/>
        <v>1.5108172499188685E-6</v>
      </c>
      <c r="O42" s="7">
        <f t="shared" si="6"/>
        <v>1.5364744871577162E-6</v>
      </c>
      <c r="Q42" s="5">
        <f t="shared" ref="Q42:Q48" si="19">SUM(K42:O42)</f>
        <v>1.1586471658254697E-3</v>
      </c>
    </row>
    <row r="43" spans="1:17" ht="15.5">
      <c r="A43" s="4">
        <v>0.41</v>
      </c>
      <c r="B43" s="4">
        <f t="shared" si="14"/>
        <v>0.3075</v>
      </c>
      <c r="C43" s="4">
        <f t="shared" si="15"/>
        <v>3.0749999999999999E-4</v>
      </c>
      <c r="D43" s="4">
        <f t="shared" si="16"/>
        <v>1.3412719183459829E-6</v>
      </c>
      <c r="E43" s="4">
        <f t="shared" si="17"/>
        <v>1341.2719183459828</v>
      </c>
      <c r="F43" s="4">
        <f t="shared" si="1"/>
        <v>670.63595917299142</v>
      </c>
      <c r="G43" s="4">
        <f t="shared" si="18"/>
        <v>6.7063595917299139</v>
      </c>
      <c r="H43" s="4">
        <f t="shared" si="10"/>
        <v>93.293640408270079</v>
      </c>
      <c r="I43" s="4">
        <v>15</v>
      </c>
      <c r="K43" s="7">
        <f t="shared" si="2"/>
        <v>6.6773460433008133E-4</v>
      </c>
      <c r="L43" s="7">
        <f t="shared" si="3"/>
        <v>4.8639945432119844E-4</v>
      </c>
      <c r="M43" s="7">
        <f t="shared" si="4"/>
        <v>3.6248775707492376E-5</v>
      </c>
      <c r="N43" s="7">
        <f t="shared" si="5"/>
        <v>1.6503373224888621E-6</v>
      </c>
      <c r="O43" s="7">
        <f t="shared" si="6"/>
        <v>1.6789102264884839E-6</v>
      </c>
      <c r="Q43" s="5">
        <f t="shared" si="19"/>
        <v>1.1937120819077497E-3</v>
      </c>
    </row>
    <row r="44" spans="1:17" ht="15.5">
      <c r="A44" s="4">
        <v>0.42</v>
      </c>
      <c r="B44" s="4">
        <f t="shared" si="14"/>
        <v>0.315</v>
      </c>
      <c r="C44" s="4">
        <f t="shared" si="15"/>
        <v>3.1500000000000001E-4</v>
      </c>
      <c r="D44" s="4">
        <f t="shared" si="16"/>
        <v>1.3739858675739336E-6</v>
      </c>
      <c r="E44" s="4">
        <f t="shared" si="17"/>
        <v>1373.9858675739335</v>
      </c>
      <c r="F44" s="4">
        <f t="shared" si="1"/>
        <v>686.99293378696677</v>
      </c>
      <c r="G44" s="4">
        <f t="shared" si="18"/>
        <v>6.8699293378696682</v>
      </c>
      <c r="H44" s="4">
        <f t="shared" si="10"/>
        <v>93.130070662130336</v>
      </c>
      <c r="I44" s="4">
        <v>15</v>
      </c>
      <c r="K44" s="7">
        <f t="shared" si="2"/>
        <v>6.7810546216055519E-4</v>
      </c>
      <c r="L44" s="7">
        <f t="shared" si="3"/>
        <v>5.0821221238490086E-4</v>
      </c>
      <c r="M44" s="7">
        <f t="shared" si="4"/>
        <v>3.8815859025696212E-5</v>
      </c>
      <c r="N44" s="7">
        <f t="shared" si="5"/>
        <v>1.8012077927850648E-6</v>
      </c>
      <c r="O44" s="7">
        <f t="shared" si="6"/>
        <v>1.8330020288328699E-6</v>
      </c>
      <c r="Q44" s="5">
        <f t="shared" si="19"/>
        <v>1.2287677433927703E-3</v>
      </c>
    </row>
    <row r="45" spans="1:17" ht="15.5">
      <c r="A45" s="4">
        <v>0.43</v>
      </c>
      <c r="B45" s="4">
        <f t="shared" si="14"/>
        <v>0.32250000000000001</v>
      </c>
      <c r="C45" s="4">
        <f t="shared" si="15"/>
        <v>3.2250000000000003E-4</v>
      </c>
      <c r="D45" s="4">
        <f t="shared" si="16"/>
        <v>1.4066998168018846E-6</v>
      </c>
      <c r="E45" s="4">
        <f t="shared" si="17"/>
        <v>1406.6998168018845</v>
      </c>
      <c r="F45" s="4">
        <f t="shared" si="1"/>
        <v>703.34990840094224</v>
      </c>
      <c r="G45" s="4">
        <f t="shared" si="18"/>
        <v>7.0334990840094225</v>
      </c>
      <c r="H45" s="4">
        <f t="shared" si="10"/>
        <v>92.966500915990579</v>
      </c>
      <c r="I45" s="4">
        <v>15</v>
      </c>
      <c r="K45" s="7">
        <f t="shared" si="2"/>
        <v>6.8777422180853524E-4</v>
      </c>
      <c r="L45" s="7">
        <f t="shared" si="3"/>
        <v>5.3052126960765385E-4</v>
      </c>
      <c r="M45" s="7">
        <f t="shared" si="4"/>
        <v>4.1528836617202829E-5</v>
      </c>
      <c r="N45" s="7">
        <f t="shared" si="5"/>
        <v>1.9642466414626645E-6</v>
      </c>
      <c r="O45" s="7">
        <f t="shared" si="6"/>
        <v>1.9995976837024457E-6</v>
      </c>
      <c r="Q45" s="5">
        <f t="shared" si="19"/>
        <v>1.263788172358557E-3</v>
      </c>
    </row>
    <row r="46" spans="1:17" ht="15.5">
      <c r="A46" s="4">
        <v>0.44</v>
      </c>
      <c r="B46" s="4">
        <f t="shared" si="14"/>
        <v>0.33</v>
      </c>
      <c r="C46" s="4">
        <f t="shared" si="15"/>
        <v>3.3E-4</v>
      </c>
      <c r="D46" s="4">
        <f t="shared" si="16"/>
        <v>1.4394137660298351E-6</v>
      </c>
      <c r="E46" s="4">
        <f t="shared" si="17"/>
        <v>1439.4137660298352</v>
      </c>
      <c r="F46" s="4">
        <f t="shared" si="1"/>
        <v>719.70688301491759</v>
      </c>
      <c r="G46" s="4">
        <f t="shared" si="18"/>
        <v>7.1970688301491759</v>
      </c>
      <c r="H46" s="4">
        <f t="shared" si="10"/>
        <v>92.802931169850822</v>
      </c>
      <c r="I46" s="4">
        <v>15</v>
      </c>
      <c r="K46" s="7">
        <f t="shared" si="2"/>
        <v>6.9671288240821078E-4</v>
      </c>
      <c r="L46" s="7">
        <f t="shared" si="3"/>
        <v>5.5332041914671999E-4</v>
      </c>
      <c r="M46" s="7">
        <f t="shared" si="4"/>
        <v>4.4394113019505371E-5</v>
      </c>
      <c r="N46" s="7">
        <f t="shared" si="5"/>
        <v>2.1403229410797691E-6</v>
      </c>
      <c r="O46" s="7">
        <f t="shared" si="6"/>
        <v>2.1795987695994299E-6</v>
      </c>
      <c r="Q46" s="5">
        <f t="shared" si="19"/>
        <v>1.2987473362851153E-3</v>
      </c>
    </row>
    <row r="47" spans="1:17" ht="15.5">
      <c r="A47" s="4">
        <v>0.45</v>
      </c>
      <c r="B47" s="4">
        <f t="shared" si="14"/>
        <v>0.33750000000000002</v>
      </c>
      <c r="C47" s="4">
        <f t="shared" si="15"/>
        <v>3.3750000000000002E-4</v>
      </c>
      <c r="D47" s="4">
        <f t="shared" si="16"/>
        <v>1.4721277152577861E-6</v>
      </c>
      <c r="E47" s="4">
        <f t="shared" si="17"/>
        <v>1472.1277152577861</v>
      </c>
      <c r="F47" s="4">
        <f t="shared" si="1"/>
        <v>736.06385762889306</v>
      </c>
      <c r="G47" s="4">
        <f t="shared" si="18"/>
        <v>7.360638576288931</v>
      </c>
      <c r="H47" s="4">
        <f t="shared" si="10"/>
        <v>92.639361423711065</v>
      </c>
      <c r="I47" s="4">
        <v>15</v>
      </c>
      <c r="K47" s="7">
        <f t="shared" si="2"/>
        <v>7.048940899128472E-4</v>
      </c>
      <c r="L47" s="7">
        <f t="shared" si="3"/>
        <v>5.766025138075828E-4</v>
      </c>
      <c r="M47" s="7">
        <f t="shared" si="4"/>
        <v>4.7418264877408749E-5</v>
      </c>
      <c r="N47" s="7">
        <f t="shared" si="5"/>
        <v>2.3303594557878035E-6</v>
      </c>
      <c r="O47" s="7">
        <f t="shared" si="6"/>
        <v>2.3739634776796381E-6</v>
      </c>
      <c r="Q47" s="5">
        <f t="shared" si="19"/>
        <v>1.3336191915313061E-3</v>
      </c>
    </row>
    <row r="48" spans="1:17" ht="15.5">
      <c r="A48" s="4">
        <v>0.46</v>
      </c>
      <c r="B48" s="4">
        <f t="shared" si="14"/>
        <v>0.34500000000000003</v>
      </c>
      <c r="C48" s="4">
        <f t="shared" si="15"/>
        <v>3.4500000000000004E-4</v>
      </c>
      <c r="D48" s="4">
        <f t="shared" si="16"/>
        <v>1.5048416644857369E-6</v>
      </c>
      <c r="E48" s="4">
        <f t="shared" si="17"/>
        <v>1504.8416644857368</v>
      </c>
      <c r="F48" s="4">
        <f t="shared" si="1"/>
        <v>752.42083224286841</v>
      </c>
      <c r="G48" s="4">
        <f t="shared" si="18"/>
        <v>7.5242083224286844</v>
      </c>
      <c r="H48" s="4">
        <f t="shared" si="10"/>
        <v>92.475791677571323</v>
      </c>
      <c r="I48" s="4">
        <v>15</v>
      </c>
      <c r="K48" s="7">
        <f t="shared" si="2"/>
        <v>7.122911971327938E-4</v>
      </c>
      <c r="L48" s="7">
        <f t="shared" si="3"/>
        <v>6.0035944619744874E-4</v>
      </c>
      <c r="M48" s="7">
        <f t="shared" si="4"/>
        <v>5.0608038943096971E-5</v>
      </c>
      <c r="N48" s="7">
        <f t="shared" si="5"/>
        <v>2.5353353295601846E-6</v>
      </c>
      <c r="O48" s="7">
        <f t="shared" si="6"/>
        <v>2.5837095406686671E-6</v>
      </c>
      <c r="Q48" s="5">
        <f t="shared" si="19"/>
        <v>1.3683777271435685E-3</v>
      </c>
    </row>
    <row r="49" spans="1:17" ht="15.5">
      <c r="A49" s="4">
        <v>0.47</v>
      </c>
      <c r="B49" s="4">
        <f t="shared" si="14"/>
        <v>0.35249999999999998</v>
      </c>
      <c r="C49" s="4">
        <f t="shared" si="15"/>
        <v>3.525E-4</v>
      </c>
      <c r="D49" s="4">
        <f t="shared" si="16"/>
        <v>1.5375556137136877E-6</v>
      </c>
      <c r="E49" s="4">
        <f t="shared" si="17"/>
        <v>1537.5556137136878</v>
      </c>
      <c r="F49" s="4">
        <f t="shared" si="1"/>
        <v>768.77780685684388</v>
      </c>
      <c r="G49" s="4">
        <f t="shared" si="18"/>
        <v>7.6877780685684387</v>
      </c>
      <c r="H49" s="4">
        <f t="shared" si="10"/>
        <v>92.312221931431566</v>
      </c>
      <c r="I49" s="4">
        <v>15</v>
      </c>
      <c r="K49" s="7">
        <f t="shared" si="2"/>
        <v>7.188783229331848E-4</v>
      </c>
      <c r="L49" s="7">
        <f t="shared" si="3"/>
        <v>6.2458213027418038E-4</v>
      </c>
      <c r="M49" s="7">
        <f t="shared" si="4"/>
        <v>5.3970349559713674E-5</v>
      </c>
      <c r="N49" s="7">
        <f t="shared" si="5"/>
        <v>2.7562888627020643E-6</v>
      </c>
      <c r="O49" s="7">
        <f t="shared" si="6"/>
        <v>2.8099172678506494E-6</v>
      </c>
      <c r="Q49" s="5">
        <f t="shared" ref="Q49:Q51" si="20">SUM(K49:O49)</f>
        <v>1.4029970088976316E-3</v>
      </c>
    </row>
    <row r="50" spans="1:17" ht="15.5">
      <c r="A50" s="4">
        <v>0.48</v>
      </c>
      <c r="B50" s="4">
        <f t="shared" si="14"/>
        <v>0.36</v>
      </c>
      <c r="C50" s="4">
        <f t="shared" si="15"/>
        <v>3.5999999999999997E-4</v>
      </c>
      <c r="D50" s="4">
        <f t="shared" si="16"/>
        <v>1.5702695629416382E-6</v>
      </c>
      <c r="E50" s="4">
        <f t="shared" si="17"/>
        <v>1570.2695629416382</v>
      </c>
      <c r="F50" s="4">
        <f t="shared" si="1"/>
        <v>785.13478147081912</v>
      </c>
      <c r="G50" s="4">
        <f t="shared" si="18"/>
        <v>7.8513478147081912</v>
      </c>
      <c r="H50" s="4">
        <f t="shared" si="10"/>
        <v>92.148652185291809</v>
      </c>
      <c r="I50" s="4">
        <v>15</v>
      </c>
      <c r="K50" s="7">
        <f t="shared" si="2"/>
        <v>7.2463041042504983E-4</v>
      </c>
      <c r="L50" s="7">
        <f t="shared" si="3"/>
        <v>6.4926048438100723E-4</v>
      </c>
      <c r="M50" s="7">
        <f t="shared" si="4"/>
        <v>5.7512275604596912E-5</v>
      </c>
      <c r="N50" s="7">
        <f t="shared" si="5"/>
        <v>2.9943203760766163E-6</v>
      </c>
      <c r="O50" s="7">
        <f t="shared" si="6"/>
        <v>3.053732686696028E-6</v>
      </c>
      <c r="Q50" s="5">
        <f t="shared" si="20"/>
        <v>1.4374512234734266E-3</v>
      </c>
    </row>
    <row r="51" spans="1:17" ht="15.5">
      <c r="A51" s="4">
        <v>0.49</v>
      </c>
      <c r="B51" s="4">
        <f t="shared" si="14"/>
        <v>0.36749999999999999</v>
      </c>
      <c r="C51" s="4">
        <f t="shared" si="15"/>
        <v>3.6749999999999999E-4</v>
      </c>
      <c r="D51" s="4">
        <f t="shared" si="16"/>
        <v>1.6029835121695892E-6</v>
      </c>
      <c r="E51" s="4">
        <f t="shared" si="17"/>
        <v>1602.9835121695892</v>
      </c>
      <c r="F51" s="4">
        <f t="shared" si="1"/>
        <v>801.49175608479459</v>
      </c>
      <c r="G51" s="4">
        <f t="shared" si="18"/>
        <v>8.0149175608479464</v>
      </c>
      <c r="H51" s="4">
        <f t="shared" si="10"/>
        <v>91.985082439152052</v>
      </c>
      <c r="I51" s="4">
        <v>15</v>
      </c>
      <c r="K51" s="7">
        <f t="shared" si="2"/>
        <v>7.2952328398484957E-4</v>
      </c>
      <c r="L51" s="7">
        <f t="shared" si="3"/>
        <v>6.7438341585593007E-4</v>
      </c>
      <c r="M51" s="7">
        <f t="shared" si="4"/>
        <v>6.1241056868623233E-5</v>
      </c>
      <c r="N51" s="7">
        <f t="shared" si="5"/>
        <v>3.2505951621537245E-6</v>
      </c>
      <c r="O51" s="7">
        <f t="shared" si="6"/>
        <v>3.3163707914211403E-6</v>
      </c>
      <c r="Q51" s="5">
        <f t="shared" si="20"/>
        <v>1.4717147226629777E-3</v>
      </c>
    </row>
    <row r="52" spans="1:17" ht="15.5">
      <c r="A52" s="4">
        <v>0.499999999999999</v>
      </c>
      <c r="B52" s="4">
        <f t="shared" si="14"/>
        <v>0.37499999999999922</v>
      </c>
      <c r="C52" s="4">
        <f t="shared" si="15"/>
        <v>3.7499999999999925E-4</v>
      </c>
      <c r="D52" s="4">
        <f t="shared" si="16"/>
        <v>1.6356974613975368E-6</v>
      </c>
      <c r="E52" s="4">
        <f t="shared" si="17"/>
        <v>1635.6974613975367</v>
      </c>
      <c r="F52" s="4">
        <f t="shared" si="1"/>
        <v>817.84873069876835</v>
      </c>
      <c r="G52" s="4">
        <f t="shared" si="18"/>
        <v>8.1784873069876838</v>
      </c>
      <c r="H52" s="4">
        <f t="shared" si="10"/>
        <v>91.821512693012323</v>
      </c>
      <c r="I52" s="4">
        <v>15</v>
      </c>
      <c r="K52" s="7">
        <f t="shared" si="2"/>
        <v>7.3353370493932195E-4</v>
      </c>
      <c r="L52" s="7">
        <f t="shared" si="3"/>
        <v>6.9993880730276911E-4</v>
      </c>
      <c r="M52" s="7">
        <f t="shared" si="4"/>
        <v>6.5164089848530866E-5</v>
      </c>
      <c r="N52" s="7">
        <f t="shared" si="5"/>
        <v>3.5263465216331759E-6</v>
      </c>
      <c r="O52" s="7">
        <f t="shared" si="6"/>
        <v>3.5991188984759158E-6</v>
      </c>
      <c r="Q52" s="5">
        <f t="shared" ref="Q52:Q60" si="21">SUM(K52:O52)</f>
        <v>1.5057620675107311E-3</v>
      </c>
    </row>
    <row r="53" spans="1:17" ht="15.5">
      <c r="A53" s="4">
        <v>0.50999999999999901</v>
      </c>
      <c r="B53" s="4">
        <f t="shared" si="14"/>
        <v>0.38249999999999929</v>
      </c>
      <c r="C53" s="4">
        <f t="shared" si="15"/>
        <v>3.8249999999999927E-4</v>
      </c>
      <c r="D53" s="4">
        <f t="shared" si="16"/>
        <v>1.6684114106254875E-6</v>
      </c>
      <c r="E53" s="4">
        <f t="shared" si="17"/>
        <v>1668.4114106254876</v>
      </c>
      <c r="F53" s="4">
        <f t="shared" si="1"/>
        <v>834.20570531274382</v>
      </c>
      <c r="G53" s="4">
        <f t="shared" si="18"/>
        <v>8.3420570531274389</v>
      </c>
      <c r="H53" s="4">
        <f t="shared" si="10"/>
        <v>91.657942946872566</v>
      </c>
      <c r="I53" s="4">
        <v>15</v>
      </c>
      <c r="K53" s="7">
        <f t="shared" si="2"/>
        <v>7.3663942575501672E-4</v>
      </c>
      <c r="L53" s="7">
        <f t="shared" si="3"/>
        <v>7.259135046086536E-4</v>
      </c>
      <c r="M53" s="7">
        <f t="shared" si="4"/>
        <v>6.9288922929625483E-5</v>
      </c>
      <c r="N53" s="7">
        <f t="shared" si="5"/>
        <v>3.822878884018536E-6</v>
      </c>
      <c r="O53" s="7">
        <f t="shared" si="6"/>
        <v>3.9033401086387668E-6</v>
      </c>
      <c r="Q53" s="5">
        <f t="shared" si="21"/>
        <v>1.5395680722859533E-3</v>
      </c>
    </row>
    <row r="54" spans="1:17" ht="15.5">
      <c r="A54" s="4">
        <v>0.51999999999999902</v>
      </c>
      <c r="B54" s="4">
        <f t="shared" si="14"/>
        <v>0.38999999999999924</v>
      </c>
      <c r="C54" s="4">
        <f t="shared" si="15"/>
        <v>3.8999999999999923E-4</v>
      </c>
      <c r="D54" s="4">
        <f t="shared" si="16"/>
        <v>1.7011253598534383E-6</v>
      </c>
      <c r="E54" s="4">
        <f t="shared" si="17"/>
        <v>1701.1253598534383</v>
      </c>
      <c r="F54" s="4">
        <f t="shared" si="1"/>
        <v>850.56267992671917</v>
      </c>
      <c r="G54" s="4">
        <f t="shared" si="18"/>
        <v>8.5056267992671923</v>
      </c>
      <c r="H54" s="4">
        <f t="shared" si="10"/>
        <v>91.494373200732809</v>
      </c>
      <c r="I54" s="4">
        <v>15</v>
      </c>
      <c r="K54" s="7">
        <f t="shared" si="2"/>
        <v>7.3881924257491354E-4</v>
      </c>
      <c r="L54" s="7">
        <f t="shared" si="3"/>
        <v>7.5229330679009519E-4</v>
      </c>
      <c r="M54" s="7">
        <f t="shared" si="4"/>
        <v>7.3623250936894537E-5</v>
      </c>
      <c r="N54" s="7">
        <f t="shared" si="5"/>
        <v>4.1415710101157487E-6</v>
      </c>
      <c r="O54" s="7">
        <f t="shared" si="6"/>
        <v>4.2304768750554388E-6</v>
      </c>
      <c r="Q54" s="5">
        <f t="shared" si="21"/>
        <v>1.5731078481870746E-3</v>
      </c>
    </row>
    <row r="55" spans="1:17" ht="15.5">
      <c r="A55" s="4">
        <v>0.52999999999999903</v>
      </c>
      <c r="B55" s="4">
        <f t="shared" si="14"/>
        <v>0.3974999999999993</v>
      </c>
      <c r="C55" s="4">
        <f t="shared" si="15"/>
        <v>3.9749999999999931E-4</v>
      </c>
      <c r="D55" s="4">
        <f t="shared" si="16"/>
        <v>1.7338393090813893E-6</v>
      </c>
      <c r="E55" s="4">
        <f t="shared" si="17"/>
        <v>1733.8393090813893</v>
      </c>
      <c r="F55" s="4">
        <f t="shared" si="1"/>
        <v>866.91965454069464</v>
      </c>
      <c r="G55" s="4">
        <f t="shared" si="18"/>
        <v>8.6691965454069457</v>
      </c>
      <c r="H55" s="4">
        <f t="shared" si="10"/>
        <v>91.330803454593052</v>
      </c>
      <c r="I55" s="4">
        <v>15</v>
      </c>
      <c r="K55" s="7">
        <f t="shared" si="2"/>
        <v>7.4005304594819985E-4</v>
      </c>
      <c r="L55" s="7">
        <f t="shared" si="3"/>
        <v>7.7906295774702759E-4</v>
      </c>
      <c r="M55" s="7">
        <f t="shared" si="4"/>
        <v>7.8174909033333498E-5</v>
      </c>
      <c r="N55" s="7">
        <f t="shared" si="5"/>
        <v>4.4838792740077177E-6</v>
      </c>
      <c r="O55" s="7">
        <f t="shared" si="6"/>
        <v>4.5820546761967531E-6</v>
      </c>
      <c r="Q55" s="5">
        <f t="shared" si="21"/>
        <v>1.6063568466787653E-3</v>
      </c>
    </row>
    <row r="56" spans="1:17" ht="15.5">
      <c r="A56" s="4">
        <v>0.53999999999999904</v>
      </c>
      <c r="B56" s="4">
        <f t="shared" si="14"/>
        <v>0.40499999999999925</v>
      </c>
      <c r="C56" s="4">
        <f t="shared" si="15"/>
        <v>4.0499999999999927E-4</v>
      </c>
      <c r="D56" s="4">
        <f t="shared" si="16"/>
        <v>1.76655325830934E-6</v>
      </c>
      <c r="E56" s="4">
        <f t="shared" si="17"/>
        <v>1766.55325830934</v>
      </c>
      <c r="F56" s="4">
        <f t="shared" si="1"/>
        <v>883.27662915466999</v>
      </c>
      <c r="G56" s="4">
        <f t="shared" si="18"/>
        <v>8.8327662915467009</v>
      </c>
      <c r="H56" s="4">
        <f t="shared" si="10"/>
        <v>91.167233708453296</v>
      </c>
      <c r="I56" s="4">
        <v>15</v>
      </c>
      <c r="K56" s="7">
        <f t="shared" si="2"/>
        <v>7.4032186960342838E-4</v>
      </c>
      <c r="L56" s="7">
        <f t="shared" si="3"/>
        <v>8.0620614000080811E-4</v>
      </c>
      <c r="M56" s="7">
        <f t="shared" si="4"/>
        <v>8.2951865945134811E-5</v>
      </c>
      <c r="N56" s="7">
        <f t="shared" si="5"/>
        <v>4.851341021604857E-6</v>
      </c>
      <c r="O56" s="7">
        <f t="shared" si="6"/>
        <v>4.9596857923208487E-6</v>
      </c>
      <c r="Q56" s="5">
        <f t="shared" si="21"/>
        <v>1.6392909023632968E-3</v>
      </c>
    </row>
    <row r="57" spans="1:17" ht="15.5">
      <c r="A57" s="4">
        <v>0.54999999999999905</v>
      </c>
      <c r="B57" s="4">
        <f t="shared" si="14"/>
        <v>0.41249999999999931</v>
      </c>
      <c r="C57" s="4">
        <f t="shared" si="15"/>
        <v>4.1249999999999929E-4</v>
      </c>
      <c r="D57" s="4">
        <f t="shared" si="16"/>
        <v>1.7992672075372908E-6</v>
      </c>
      <c r="E57" s="4">
        <f t="shared" si="17"/>
        <v>1799.2672075372909</v>
      </c>
      <c r="F57" s="4">
        <f t="shared" si="1"/>
        <v>899.63360376864546</v>
      </c>
      <c r="G57" s="4">
        <f t="shared" si="18"/>
        <v>8.9963360376864543</v>
      </c>
      <c r="H57" s="4">
        <f t="shared" si="10"/>
        <v>91.003663962313539</v>
      </c>
      <c r="I57" s="4">
        <v>15</v>
      </c>
      <c r="K57" s="7">
        <f t="shared" si="2"/>
        <v>7.3960793712005233E-4</v>
      </c>
      <c r="L57" s="7">
        <f t="shared" si="3"/>
        <v>8.3370547048869132E-4</v>
      </c>
      <c r="M57" s="7">
        <f t="shared" si="4"/>
        <v>8.7962216494403604E-5</v>
      </c>
      <c r="N57" s="7">
        <f t="shared" si="5"/>
        <v>5.2455780023999112E-6</v>
      </c>
      <c r="O57" s="7">
        <f t="shared" si="6"/>
        <v>5.3650731836164828E-6</v>
      </c>
      <c r="Q57" s="5">
        <f t="shared" si="21"/>
        <v>1.6718862752891637E-3</v>
      </c>
    </row>
    <row r="58" spans="1:17" ht="15.5">
      <c r="A58" s="4">
        <v>0.55999999999999905</v>
      </c>
      <c r="B58" s="4">
        <f t="shared" si="14"/>
        <v>0.41999999999999926</v>
      </c>
      <c r="C58" s="4">
        <f t="shared" si="15"/>
        <v>4.1999999999999926E-4</v>
      </c>
      <c r="D58" s="4">
        <f t="shared" si="16"/>
        <v>1.8319811567652416E-6</v>
      </c>
      <c r="E58" s="4">
        <f t="shared" si="17"/>
        <v>1831.9811567652416</v>
      </c>
      <c r="F58" s="4">
        <f t="shared" si="1"/>
        <v>915.99057838262081</v>
      </c>
      <c r="G58" s="4">
        <f t="shared" si="18"/>
        <v>9.1599057838262077</v>
      </c>
      <c r="H58" s="4">
        <f t="shared" si="10"/>
        <v>90.840094216173796</v>
      </c>
      <c r="I58" s="4">
        <v>15</v>
      </c>
      <c r="K58" s="7">
        <f t="shared" si="2"/>
        <v>7.3789470635861202E-4</v>
      </c>
      <c r="L58" s="7">
        <f t="shared" si="3"/>
        <v>8.6154249848330734E-4</v>
      </c>
      <c r="M58" s="7">
        <f t="shared" si="4"/>
        <v>9.3214173421173979E-5</v>
      </c>
      <c r="N58" s="7">
        <f t="shared" si="5"/>
        <v>5.6682998705563788E-6</v>
      </c>
      <c r="O58" s="7">
        <f t="shared" si="6"/>
        <v>5.8000144677683847E-6</v>
      </c>
      <c r="Q58" s="5">
        <f t="shared" si="21"/>
        <v>1.7041196926014183E-3</v>
      </c>
    </row>
    <row r="59" spans="1:17" ht="15.5">
      <c r="A59" s="4">
        <v>0.56999999999999895</v>
      </c>
      <c r="B59" s="4">
        <f t="shared" si="14"/>
        <v>0.42749999999999921</v>
      </c>
      <c r="C59" s="4">
        <f t="shared" si="15"/>
        <v>4.2749999999999922E-4</v>
      </c>
      <c r="D59" s="4">
        <f t="shared" si="16"/>
        <v>1.8646951059931921E-6</v>
      </c>
      <c r="E59" s="4">
        <f t="shared" si="17"/>
        <v>1864.6951059931921</v>
      </c>
      <c r="F59" s="4">
        <f t="shared" si="1"/>
        <v>932.34755299659605</v>
      </c>
      <c r="G59" s="4">
        <f t="shared" si="18"/>
        <v>9.3234755299659611</v>
      </c>
      <c r="H59" s="4">
        <f t="shared" si="10"/>
        <v>90.676524470034039</v>
      </c>
      <c r="I59" s="4">
        <v>15</v>
      </c>
      <c r="K59" s="7">
        <f t="shared" si="2"/>
        <v>7.351669115156583E-4</v>
      </c>
      <c r="L59" s="7">
        <f t="shared" si="3"/>
        <v>8.8969770570151042E-4</v>
      </c>
      <c r="M59" s="7">
        <f t="shared" si="4"/>
        <v>9.8716058477754982E-5</v>
      </c>
      <c r="N59" s="7">
        <f t="shared" si="5"/>
        <v>6.1213077509393558E-6</v>
      </c>
      <c r="O59" s="7">
        <f t="shared" si="6"/>
        <v>6.2664059942288736E-6</v>
      </c>
      <c r="Q59" s="5">
        <f t="shared" si="21"/>
        <v>1.7359683894400918E-3</v>
      </c>
    </row>
    <row r="60" spans="1:17" ht="15.5">
      <c r="A60" s="4">
        <v>0.57999999999999896</v>
      </c>
      <c r="B60" s="4">
        <f t="shared" si="14"/>
        <v>0.43499999999999922</v>
      </c>
      <c r="C60" s="4">
        <f t="shared" si="15"/>
        <v>4.3499999999999924E-4</v>
      </c>
      <c r="D60" s="4">
        <f t="shared" si="16"/>
        <v>1.8974090552211431E-6</v>
      </c>
      <c r="E60" s="4">
        <f t="shared" si="17"/>
        <v>1897.409055221143</v>
      </c>
      <c r="F60" s="4">
        <f t="shared" si="1"/>
        <v>948.70452761057152</v>
      </c>
      <c r="G60" s="4">
        <f t="shared" si="18"/>
        <v>9.4870452761057162</v>
      </c>
      <c r="H60" s="4">
        <f t="shared" si="10"/>
        <v>90.512954723894282</v>
      </c>
      <c r="I60" s="4">
        <v>15</v>
      </c>
      <c r="K60" s="7">
        <f t="shared" si="2"/>
        <v>7.3141060267583084E-4</v>
      </c>
      <c r="L60" s="7">
        <f t="shared" si="3"/>
        <v>9.1815050866229182E-4</v>
      </c>
      <c r="M60" s="7">
        <f t="shared" si="4"/>
        <v>1.0447629277980205E-4</v>
      </c>
      <c r="N60" s="7">
        <f t="shared" si="5"/>
        <v>6.6064978651509611E-6</v>
      </c>
      <c r="O60" s="7">
        <f t="shared" si="6"/>
        <v>6.7662470119973034E-6</v>
      </c>
      <c r="Q60" s="5">
        <f t="shared" si="21"/>
        <v>1.7674101489950729E-3</v>
      </c>
    </row>
    <row r="61" spans="1:17" ht="15.5">
      <c r="A61" s="4">
        <v>0.59</v>
      </c>
      <c r="B61" s="4">
        <f t="shared" ref="B61:B64" si="22">A61*0.75</f>
        <v>0.4425</v>
      </c>
      <c r="C61" s="4">
        <f t="shared" ref="C61:C64" si="23">B61/1000</f>
        <v>4.4250000000000002E-4</v>
      </c>
      <c r="D61" s="4">
        <f t="shared" ref="D61:D64" si="24">C61/229.26</f>
        <v>1.9301230044490973E-6</v>
      </c>
      <c r="E61" s="4">
        <f t="shared" ref="E61:E64" si="25">D61*(1000000000)</f>
        <v>1930.1230044490972</v>
      </c>
      <c r="F61" s="4">
        <f t="shared" si="1"/>
        <v>965.06150222454858</v>
      </c>
      <c r="G61" s="4">
        <f t="shared" ref="G61:G64" si="26">F61*0.01</f>
        <v>9.6506150222454856</v>
      </c>
      <c r="H61" s="4">
        <f t="shared" si="10"/>
        <v>90.349384977754511</v>
      </c>
      <c r="I61" s="4">
        <v>15</v>
      </c>
      <c r="K61" s="7">
        <f t="shared" si="2"/>
        <v>7.2661318274027016E-4</v>
      </c>
      <c r="L61" s="7">
        <f t="shared" si="3"/>
        <v>9.4687926334869655E-4</v>
      </c>
      <c r="M61" s="7">
        <f t="shared" si="4"/>
        <v>1.1050338640002929E-4</v>
      </c>
      <c r="N61" s="7">
        <f t="shared" si="5"/>
        <v>7.1258652120652125E-6</v>
      </c>
      <c r="O61" s="7">
        <f t="shared" si="6"/>
        <v>7.3016439272056116E-6</v>
      </c>
      <c r="Q61" s="5">
        <f t="shared" ref="Q61:Q62" si="27">SUM(K61:O61)</f>
        <v>1.7984233416282666E-3</v>
      </c>
    </row>
    <row r="62" spans="1:17" ht="15.5">
      <c r="A62" s="4">
        <v>0.6</v>
      </c>
      <c r="B62" s="4">
        <f t="shared" si="22"/>
        <v>0.44999999999999996</v>
      </c>
      <c r="C62" s="4">
        <f t="shared" si="23"/>
        <v>4.4999999999999993E-4</v>
      </c>
      <c r="D62" s="4">
        <f t="shared" si="24"/>
        <v>1.9628369536770476E-6</v>
      </c>
      <c r="E62" s="4">
        <f t="shared" si="25"/>
        <v>1962.8369536770476</v>
      </c>
      <c r="F62" s="4">
        <f t="shared" si="1"/>
        <v>981.41847683852382</v>
      </c>
      <c r="G62" s="4">
        <f t="shared" si="26"/>
        <v>9.814184768385239</v>
      </c>
      <c r="H62" s="4">
        <f t="shared" si="10"/>
        <v>90.185815231614754</v>
      </c>
      <c r="I62" s="4">
        <v>15</v>
      </c>
      <c r="K62" s="7">
        <f t="shared" si="2"/>
        <v>7.2076344161785104E-4</v>
      </c>
      <c r="L62" s="7">
        <f t="shared" si="3"/>
        <v>9.758612722234009E-4</v>
      </c>
      <c r="M62" s="7">
        <f t="shared" si="4"/>
        <v>1.168059271921026E-4</v>
      </c>
      <c r="N62" s="7">
        <f t="shared" si="5"/>
        <v>7.6815072967642442E-6</v>
      </c>
      <c r="O62" s="7">
        <f t="shared" si="6"/>
        <v>7.8748146462789402E-6</v>
      </c>
      <c r="Q62" s="5">
        <f t="shared" si="27"/>
        <v>1.828986962976398E-3</v>
      </c>
    </row>
    <row r="63" spans="1:17" ht="15.5">
      <c r="A63" s="4">
        <v>0.61</v>
      </c>
      <c r="B63" s="4">
        <f t="shared" si="22"/>
        <v>0.45750000000000002</v>
      </c>
      <c r="C63" s="4">
        <f t="shared" si="23"/>
        <v>4.5750000000000001E-4</v>
      </c>
      <c r="D63" s="4">
        <f t="shared" si="24"/>
        <v>1.9955509029049988E-6</v>
      </c>
      <c r="E63" s="4">
        <f t="shared" si="25"/>
        <v>1995.5509029049988</v>
      </c>
      <c r="F63" s="4">
        <f t="shared" si="1"/>
        <v>997.7754514524994</v>
      </c>
      <c r="G63" s="4">
        <f t="shared" si="26"/>
        <v>9.9777545145249942</v>
      </c>
      <c r="H63" s="4">
        <f t="shared" si="10"/>
        <v>90.022245485475011</v>
      </c>
      <c r="I63" s="4">
        <v>15</v>
      </c>
      <c r="K63" s="7">
        <f t="shared" si="2"/>
        <v>7.1385158757335092E-4</v>
      </c>
      <c r="L63" s="7">
        <f t="shared" si="3"/>
        <v>1.0050727936422119E-3</v>
      </c>
      <c r="M63" s="7">
        <f t="shared" si="4"/>
        <v>1.2339256883404261E-4</v>
      </c>
      <c r="N63" s="7">
        <f t="shared" si="5"/>
        <v>8.2756279011665753E-6</v>
      </c>
      <c r="O63" s="7">
        <f t="shared" si="6"/>
        <v>8.4880929998923981E-6</v>
      </c>
      <c r="Q63" s="5">
        <f t="shared" ref="Q63:Q64" si="28">SUM(K63:O63)</f>
        <v>1.8590806709506641E-3</v>
      </c>
    </row>
    <row r="64" spans="1:17" ht="15.5">
      <c r="A64" s="4">
        <v>0.62</v>
      </c>
      <c r="B64" s="4">
        <f t="shared" si="22"/>
        <v>0.46499999999999997</v>
      </c>
      <c r="C64" s="4">
        <f t="shared" si="23"/>
        <v>4.6499999999999997E-4</v>
      </c>
      <c r="D64" s="4">
        <f t="shared" si="24"/>
        <v>2.0282648521329496E-6</v>
      </c>
      <c r="E64" s="4">
        <f t="shared" si="25"/>
        <v>2028.2648521329495</v>
      </c>
      <c r="F64" s="4">
        <f t="shared" si="1"/>
        <v>1014.1324260664747</v>
      </c>
      <c r="G64" s="4">
        <f t="shared" si="26"/>
        <v>10.141324260664748</v>
      </c>
      <c r="H64" s="4">
        <f t="shared" si="10"/>
        <v>89.858675739335254</v>
      </c>
      <c r="I64" s="4">
        <v>15</v>
      </c>
      <c r="K64" s="7">
        <f t="shared" si="2"/>
        <v>7.0586927563484755E-4</v>
      </c>
      <c r="L64" s="7">
        <f t="shared" si="3"/>
        <v>1.034489053703962E-3</v>
      </c>
      <c r="M64" s="7">
        <f t="shared" si="4"/>
        <v>1.3027201808234689E-4</v>
      </c>
      <c r="N64" s="7">
        <f t="shared" si="5"/>
        <v>8.9105408890012715E-6</v>
      </c>
      <c r="O64" s="7">
        <f t="shared" si="6"/>
        <v>9.1439332423703845E-6</v>
      </c>
      <c r="Q64" s="5">
        <f t="shared" si="28"/>
        <v>1.8886848215525283E-3</v>
      </c>
    </row>
    <row r="65" spans="1:15" ht="15.5">
      <c r="A65" s="4"/>
      <c r="B65" s="4"/>
      <c r="C65" s="4"/>
      <c r="D65" s="4"/>
      <c r="E65" s="4"/>
      <c r="F65" s="4"/>
      <c r="G65" s="4"/>
      <c r="H65" s="4"/>
      <c r="I65" s="4"/>
      <c r="K65" s="7"/>
      <c r="L65" s="7"/>
      <c r="M65" s="7"/>
      <c r="N65" s="7"/>
      <c r="O65" s="7"/>
    </row>
    <row r="66" spans="1:15" ht="15.5">
      <c r="A66" s="4"/>
      <c r="B66" s="4"/>
      <c r="C66" s="4"/>
      <c r="D66" s="4"/>
      <c r="E66" s="4"/>
      <c r="F66" s="4"/>
      <c r="G66" s="4"/>
      <c r="H66" s="4"/>
      <c r="I66" s="4"/>
      <c r="K66" s="7"/>
      <c r="L66" s="7"/>
      <c r="M66" s="7"/>
      <c r="N66" s="7"/>
      <c r="O66" s="7"/>
    </row>
  </sheetData>
  <pageMargins left="0.7" right="0.7" top="0.75" bottom="0.75" header="0.3" footer="0.3"/>
  <pageSetup orientation="portrait" r:id="rId1"/>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09"/>
  <sheetViews>
    <sheetView topLeftCell="A86" workbookViewId="0">
      <selection activeCell="A100" sqref="A100:B109"/>
    </sheetView>
  </sheetViews>
  <sheetFormatPr defaultColWidth="8.81640625" defaultRowHeight="13"/>
  <cols>
    <col min="1" max="1" width="86" style="25" bestFit="1" customWidth="1"/>
    <col min="2" max="2" width="10.81640625" style="25" customWidth="1"/>
    <col min="3" max="16384" width="8.81640625" style="25"/>
  </cols>
  <sheetData>
    <row r="1" spans="1:3" s="38" customFormat="1">
      <c r="A1" s="38" t="s">
        <v>204</v>
      </c>
      <c r="B1" s="38" t="s">
        <v>104</v>
      </c>
    </row>
    <row r="2" spans="1:3" s="38" customFormat="1">
      <c r="A2" s="39" t="s">
        <v>213</v>
      </c>
      <c r="B2" s="38" t="s">
        <v>223</v>
      </c>
    </row>
    <row r="3" spans="1:3" s="38" customFormat="1">
      <c r="A3" s="40" t="s">
        <v>223</v>
      </c>
    </row>
    <row r="4" spans="1:3" s="38" customFormat="1">
      <c r="A4" s="39" t="s">
        <v>221</v>
      </c>
    </row>
    <row r="5" spans="1:3" s="38" customFormat="1">
      <c r="A5" s="40" t="s">
        <v>223</v>
      </c>
    </row>
    <row r="6" spans="1:3">
      <c r="A6" s="25" t="s">
        <v>100</v>
      </c>
      <c r="B6" s="25" t="s">
        <v>99</v>
      </c>
      <c r="C6" s="25" t="s">
        <v>290</v>
      </c>
    </row>
    <row r="7" spans="1:3">
      <c r="A7" s="41" t="s">
        <v>211</v>
      </c>
      <c r="B7" s="41" t="s">
        <v>210</v>
      </c>
      <c r="C7" s="25" t="s">
        <v>231</v>
      </c>
    </row>
    <row r="8" spans="1:3">
      <c r="A8" s="42" t="s">
        <v>70</v>
      </c>
      <c r="B8" s="42" t="s">
        <v>69</v>
      </c>
      <c r="C8" s="25" t="s">
        <v>290</v>
      </c>
    </row>
    <row r="9" spans="1:3">
      <c r="A9" s="41" t="s">
        <v>220</v>
      </c>
      <c r="B9" s="41" t="s">
        <v>219</v>
      </c>
      <c r="C9" s="25" t="s">
        <v>232</v>
      </c>
    </row>
    <row r="10" spans="1:3">
      <c r="A10" s="25" t="s">
        <v>209</v>
      </c>
      <c r="B10" s="25" t="s">
        <v>208</v>
      </c>
      <c r="C10" s="25" t="s">
        <v>231</v>
      </c>
    </row>
    <row r="11" spans="1:3">
      <c r="A11" s="25" t="s">
        <v>207</v>
      </c>
      <c r="B11" s="25" t="s">
        <v>206</v>
      </c>
      <c r="C11" s="25" t="s">
        <v>233</v>
      </c>
    </row>
    <row r="12" spans="1:3">
      <c r="A12" s="25" t="s">
        <v>336</v>
      </c>
      <c r="B12" s="25" t="s">
        <v>337</v>
      </c>
      <c r="C12" s="25" t="s">
        <v>231</v>
      </c>
    </row>
    <row r="14" spans="1:3" s="38" customFormat="1">
      <c r="A14" s="40" t="s">
        <v>223</v>
      </c>
    </row>
    <row r="15" spans="1:3" s="38" customFormat="1">
      <c r="A15" s="39" t="s">
        <v>222</v>
      </c>
    </row>
    <row r="16" spans="1:3" s="38" customFormat="1">
      <c r="A16" s="40" t="s">
        <v>223</v>
      </c>
    </row>
    <row r="17" spans="1:3">
      <c r="A17" s="42" t="s">
        <v>102</v>
      </c>
      <c r="B17" s="42" t="s">
        <v>101</v>
      </c>
      <c r="C17" s="25" t="s">
        <v>290</v>
      </c>
    </row>
    <row r="18" spans="1:3">
      <c r="A18" s="42" t="s">
        <v>100</v>
      </c>
      <c r="B18" s="42" t="s">
        <v>99</v>
      </c>
      <c r="C18" s="25" t="s">
        <v>290</v>
      </c>
    </row>
    <row r="19" spans="1:3">
      <c r="A19" s="42" t="s">
        <v>202</v>
      </c>
      <c r="B19" s="42" t="s">
        <v>201</v>
      </c>
      <c r="C19" s="25" t="s">
        <v>290</v>
      </c>
    </row>
    <row r="20" spans="1:3">
      <c r="A20" s="42" t="s">
        <v>98</v>
      </c>
      <c r="B20" s="42" t="s">
        <v>97</v>
      </c>
      <c r="C20" s="25" t="s">
        <v>290</v>
      </c>
    </row>
    <row r="21" spans="1:3">
      <c r="A21" s="42" t="s">
        <v>95</v>
      </c>
      <c r="B21" s="42" t="s">
        <v>94</v>
      </c>
      <c r="C21" s="25" t="s">
        <v>290</v>
      </c>
    </row>
    <row r="22" spans="1:3">
      <c r="A22" s="42" t="s">
        <v>93</v>
      </c>
      <c r="B22" s="42" t="s">
        <v>92</v>
      </c>
      <c r="C22" s="25" t="s">
        <v>290</v>
      </c>
    </row>
    <row r="23" spans="1:3">
      <c r="A23" s="42" t="s">
        <v>90</v>
      </c>
      <c r="B23" s="42" t="s">
        <v>89</v>
      </c>
      <c r="C23" s="25" t="s">
        <v>290</v>
      </c>
    </row>
    <row r="24" spans="1:3">
      <c r="A24" s="42" t="s">
        <v>90</v>
      </c>
      <c r="B24" s="42" t="s">
        <v>89</v>
      </c>
      <c r="C24" s="25" t="s">
        <v>290</v>
      </c>
    </row>
    <row r="25" spans="1:3">
      <c r="A25" s="42" t="s">
        <v>88</v>
      </c>
      <c r="B25" s="42" t="s">
        <v>87</v>
      </c>
      <c r="C25" s="25" t="s">
        <v>290</v>
      </c>
    </row>
    <row r="26" spans="1:3">
      <c r="A26" s="42" t="s">
        <v>198</v>
      </c>
      <c r="B26" s="42" t="s">
        <v>197</v>
      </c>
      <c r="C26" s="25" t="s">
        <v>290</v>
      </c>
    </row>
    <row r="27" spans="1:3">
      <c r="A27" s="42" t="s">
        <v>195</v>
      </c>
      <c r="B27" s="42" t="s">
        <v>194</v>
      </c>
      <c r="C27" s="25" t="s">
        <v>290</v>
      </c>
    </row>
    <row r="28" spans="1:3">
      <c r="A28" s="42" t="s">
        <v>192</v>
      </c>
      <c r="B28" s="42" t="s">
        <v>191</v>
      </c>
      <c r="C28" s="25" t="s">
        <v>290</v>
      </c>
    </row>
    <row r="29" spans="1:3">
      <c r="A29" s="42" t="s">
        <v>85</v>
      </c>
      <c r="B29" s="42" t="s">
        <v>84</v>
      </c>
      <c r="C29" s="25" t="s">
        <v>290</v>
      </c>
    </row>
    <row r="30" spans="1:3">
      <c r="A30" s="42" t="s">
        <v>82</v>
      </c>
      <c r="B30" s="42" t="s">
        <v>81</v>
      </c>
      <c r="C30" s="25" t="s">
        <v>290</v>
      </c>
    </row>
    <row r="31" spans="1:3">
      <c r="A31" s="42" t="s">
        <v>189</v>
      </c>
      <c r="B31" s="42" t="s">
        <v>188</v>
      </c>
      <c r="C31" s="25" t="s">
        <v>290</v>
      </c>
    </row>
    <row r="32" spans="1:3">
      <c r="A32" s="42" t="s">
        <v>186</v>
      </c>
      <c r="B32" s="42" t="s">
        <v>185</v>
      </c>
      <c r="C32" s="25" t="s">
        <v>290</v>
      </c>
    </row>
    <row r="33" spans="1:3">
      <c r="A33" s="42" t="s">
        <v>79</v>
      </c>
      <c r="B33" s="42" t="s">
        <v>78</v>
      </c>
      <c r="C33" s="25" t="s">
        <v>290</v>
      </c>
    </row>
    <row r="34" spans="1:3">
      <c r="A34" s="42" t="s">
        <v>76</v>
      </c>
      <c r="B34" s="42" t="s">
        <v>75</v>
      </c>
      <c r="C34" s="25" t="s">
        <v>290</v>
      </c>
    </row>
    <row r="35" spans="1:3">
      <c r="A35" s="42" t="s">
        <v>74</v>
      </c>
      <c r="B35" s="42" t="s">
        <v>73</v>
      </c>
      <c r="C35" s="25" t="s">
        <v>290</v>
      </c>
    </row>
    <row r="36" spans="1:3">
      <c r="A36" s="42" t="s">
        <v>183</v>
      </c>
      <c r="B36" s="42" t="s">
        <v>182</v>
      </c>
      <c r="C36" s="25" t="s">
        <v>290</v>
      </c>
    </row>
    <row r="37" spans="1:3">
      <c r="A37" s="42" t="s">
        <v>180</v>
      </c>
      <c r="B37" s="42" t="s">
        <v>179</v>
      </c>
      <c r="C37" s="25" t="s">
        <v>290</v>
      </c>
    </row>
    <row r="38" spans="1:3">
      <c r="A38" s="42" t="s">
        <v>177</v>
      </c>
      <c r="B38" s="42" t="s">
        <v>176</v>
      </c>
      <c r="C38" s="25" t="s">
        <v>290</v>
      </c>
    </row>
    <row r="39" spans="1:3">
      <c r="A39" s="42" t="s">
        <v>175</v>
      </c>
      <c r="B39" s="42" t="s">
        <v>174</v>
      </c>
      <c r="C39" s="25" t="s">
        <v>290</v>
      </c>
    </row>
    <row r="40" spans="1:3">
      <c r="A40" s="42" t="s">
        <v>172</v>
      </c>
      <c r="B40" s="42" t="s">
        <v>171</v>
      </c>
      <c r="C40" s="25" t="s">
        <v>290</v>
      </c>
    </row>
    <row r="41" spans="1:3">
      <c r="A41" s="42" t="s">
        <v>72</v>
      </c>
      <c r="B41" s="42" t="s">
        <v>71</v>
      </c>
      <c r="C41" s="25" t="s">
        <v>290</v>
      </c>
    </row>
    <row r="42" spans="1:3">
      <c r="A42" s="42" t="s">
        <v>169</v>
      </c>
      <c r="B42" s="42" t="s">
        <v>168</v>
      </c>
      <c r="C42" s="25" t="s">
        <v>290</v>
      </c>
    </row>
    <row r="43" spans="1:3">
      <c r="A43" s="42" t="s">
        <v>166</v>
      </c>
      <c r="B43" s="42" t="s">
        <v>165</v>
      </c>
      <c r="C43" s="25" t="s">
        <v>290</v>
      </c>
    </row>
    <row r="44" spans="1:3">
      <c r="A44" s="42" t="s">
        <v>163</v>
      </c>
      <c r="B44" s="42" t="s">
        <v>162</v>
      </c>
      <c r="C44" s="25" t="s">
        <v>290</v>
      </c>
    </row>
    <row r="45" spans="1:3">
      <c r="A45" s="42" t="s">
        <v>161</v>
      </c>
      <c r="B45" s="42" t="s">
        <v>160</v>
      </c>
      <c r="C45" s="25" t="s">
        <v>290</v>
      </c>
    </row>
    <row r="46" spans="1:3">
      <c r="A46" s="42" t="s">
        <v>70</v>
      </c>
      <c r="B46" s="42" t="s">
        <v>69</v>
      </c>
      <c r="C46" s="25" t="s">
        <v>290</v>
      </c>
    </row>
    <row r="47" spans="1:3">
      <c r="A47" s="42" t="s">
        <v>67</v>
      </c>
      <c r="B47" s="42" t="s">
        <v>66</v>
      </c>
      <c r="C47" s="25" t="s">
        <v>290</v>
      </c>
    </row>
    <row r="48" spans="1:3">
      <c r="A48" s="42" t="s">
        <v>64</v>
      </c>
      <c r="B48" s="42" t="s">
        <v>63</v>
      </c>
      <c r="C48" s="25" t="s">
        <v>290</v>
      </c>
    </row>
    <row r="49" spans="1:3">
      <c r="A49" s="42" t="s">
        <v>64</v>
      </c>
      <c r="B49" s="42" t="s">
        <v>63</v>
      </c>
      <c r="C49" s="25" t="s">
        <v>290</v>
      </c>
    </row>
    <row r="50" spans="1:3">
      <c r="A50" s="42" t="s">
        <v>64</v>
      </c>
      <c r="B50" s="42" t="s">
        <v>63</v>
      </c>
      <c r="C50" s="25" t="s">
        <v>290</v>
      </c>
    </row>
    <row r="51" spans="1:3">
      <c r="A51" s="42" t="s">
        <v>156</v>
      </c>
      <c r="B51" s="42" t="s">
        <v>155</v>
      </c>
      <c r="C51" s="25" t="s">
        <v>290</v>
      </c>
    </row>
    <row r="52" spans="1:3">
      <c r="A52" s="42" t="s">
        <v>62</v>
      </c>
      <c r="B52" s="42" t="s">
        <v>61</v>
      </c>
      <c r="C52" s="25" t="s">
        <v>290</v>
      </c>
    </row>
    <row r="53" spans="1:3">
      <c r="A53" s="42" t="s">
        <v>153</v>
      </c>
      <c r="B53" s="42"/>
      <c r="C53" s="25" t="s">
        <v>290</v>
      </c>
    </row>
    <row r="54" spans="1:3">
      <c r="A54" s="42" t="s">
        <v>59</v>
      </c>
      <c r="B54" s="42" t="s">
        <v>58</v>
      </c>
      <c r="C54" s="25" t="s">
        <v>290</v>
      </c>
    </row>
    <row r="55" spans="1:3">
      <c r="A55" s="42" t="s">
        <v>57</v>
      </c>
      <c r="B55" s="42" t="s">
        <v>56</v>
      </c>
      <c r="C55" s="25" t="s">
        <v>290</v>
      </c>
    </row>
    <row r="56" spans="1:3">
      <c r="A56" s="42" t="s">
        <v>54</v>
      </c>
      <c r="B56" s="42" t="s">
        <v>53</v>
      </c>
      <c r="C56" s="25" t="s">
        <v>290</v>
      </c>
    </row>
    <row r="57" spans="1:3">
      <c r="A57" s="42" t="s">
        <v>149</v>
      </c>
      <c r="B57" s="42" t="s">
        <v>148</v>
      </c>
      <c r="C57" s="25" t="s">
        <v>290</v>
      </c>
    </row>
    <row r="58" spans="1:3">
      <c r="A58" s="42" t="s">
        <v>52</v>
      </c>
      <c r="B58" s="42" t="s">
        <v>51</v>
      </c>
      <c r="C58" s="25" t="s">
        <v>290</v>
      </c>
    </row>
    <row r="59" spans="1:3">
      <c r="A59" s="42" t="s">
        <v>50</v>
      </c>
      <c r="B59" s="42" t="s">
        <v>49</v>
      </c>
      <c r="C59" s="25" t="s">
        <v>290</v>
      </c>
    </row>
    <row r="60" spans="1:3">
      <c r="A60" s="42" t="s">
        <v>47</v>
      </c>
      <c r="B60" s="42" t="s">
        <v>46</v>
      </c>
      <c r="C60" s="25" t="s">
        <v>290</v>
      </c>
    </row>
    <row r="61" spans="1:3">
      <c r="A61" s="42" t="s">
        <v>45</v>
      </c>
      <c r="B61" s="42" t="s">
        <v>44</v>
      </c>
      <c r="C61" s="25" t="s">
        <v>290</v>
      </c>
    </row>
    <row r="62" spans="1:3">
      <c r="A62" s="42" t="s">
        <v>42</v>
      </c>
      <c r="B62" s="42" t="s">
        <v>41</v>
      </c>
      <c r="C62" s="25" t="s">
        <v>290</v>
      </c>
    </row>
    <row r="63" spans="1:3">
      <c r="A63" s="42" t="s">
        <v>40</v>
      </c>
      <c r="B63" s="42" t="s">
        <v>39</v>
      </c>
      <c r="C63" s="25" t="s">
        <v>290</v>
      </c>
    </row>
    <row r="64" spans="1:3">
      <c r="A64" s="42" t="s">
        <v>37</v>
      </c>
      <c r="B64" s="42" t="s">
        <v>36</v>
      </c>
      <c r="C64" s="25" t="s">
        <v>290</v>
      </c>
    </row>
    <row r="65" spans="1:3">
      <c r="A65" s="42" t="s">
        <v>34</v>
      </c>
      <c r="B65" s="42" t="s">
        <v>33</v>
      </c>
      <c r="C65" s="25" t="s">
        <v>290</v>
      </c>
    </row>
    <row r="66" spans="1:3">
      <c r="A66" s="42" t="s">
        <v>146</v>
      </c>
      <c r="B66" s="42" t="s">
        <v>145</v>
      </c>
      <c r="C66" s="25" t="s">
        <v>290</v>
      </c>
    </row>
    <row r="67" spans="1:3">
      <c r="A67" s="42" t="s">
        <v>31</v>
      </c>
      <c r="B67" s="42" t="s">
        <v>30</v>
      </c>
      <c r="C67" s="25" t="s">
        <v>290</v>
      </c>
    </row>
    <row r="68" spans="1:3">
      <c r="A68" s="42" t="s">
        <v>142</v>
      </c>
      <c r="B68" s="42" t="s">
        <v>141</v>
      </c>
      <c r="C68" s="25" t="s">
        <v>290</v>
      </c>
    </row>
    <row r="69" spans="1:3">
      <c r="A69" s="42" t="s">
        <v>139</v>
      </c>
      <c r="B69" s="42" t="s">
        <v>138</v>
      </c>
      <c r="C69" s="25" t="s">
        <v>290</v>
      </c>
    </row>
    <row r="70" spans="1:3">
      <c r="A70" s="42" t="s">
        <v>388</v>
      </c>
      <c r="B70" s="42" t="s">
        <v>389</v>
      </c>
      <c r="C70" s="25" t="s">
        <v>290</v>
      </c>
    </row>
    <row r="71" spans="1:3">
      <c r="A71" s="42" t="s">
        <v>136</v>
      </c>
      <c r="B71" s="42" t="s">
        <v>135</v>
      </c>
      <c r="C71" s="25" t="s">
        <v>290</v>
      </c>
    </row>
    <row r="72" spans="1:3">
      <c r="A72" s="42" t="s">
        <v>29</v>
      </c>
      <c r="B72" s="42" t="s">
        <v>28</v>
      </c>
      <c r="C72" s="25" t="s">
        <v>290</v>
      </c>
    </row>
    <row r="73" spans="1:3">
      <c r="A73" s="42" t="s">
        <v>134</v>
      </c>
      <c r="B73" s="42" t="s">
        <v>133</v>
      </c>
      <c r="C73" s="25" t="s">
        <v>290</v>
      </c>
    </row>
    <row r="74" spans="1:3">
      <c r="A74" s="42" t="s">
        <v>132</v>
      </c>
      <c r="B74" s="42" t="s">
        <v>131</v>
      </c>
      <c r="C74" s="25" t="s">
        <v>290</v>
      </c>
    </row>
    <row r="75" spans="1:3">
      <c r="A75" s="42" t="s">
        <v>26</v>
      </c>
      <c r="B75" s="42" t="s">
        <v>25</v>
      </c>
      <c r="C75" s="25" t="s">
        <v>290</v>
      </c>
    </row>
    <row r="76" spans="1:3">
      <c r="A76" s="42" t="s">
        <v>24</v>
      </c>
      <c r="B76" s="42" t="s">
        <v>23</v>
      </c>
      <c r="C76" s="25" t="s">
        <v>290</v>
      </c>
    </row>
    <row r="77" spans="1:3">
      <c r="A77" s="42" t="s">
        <v>129</v>
      </c>
      <c r="B77" s="42" t="s">
        <v>128</v>
      </c>
      <c r="C77" s="25" t="s">
        <v>290</v>
      </c>
    </row>
    <row r="78" spans="1:3">
      <c r="A78" s="42" t="s">
        <v>21</v>
      </c>
      <c r="B78" s="42" t="s">
        <v>20</v>
      </c>
      <c r="C78" s="25" t="s">
        <v>290</v>
      </c>
    </row>
    <row r="79" spans="1:3">
      <c r="A79" s="42" t="s">
        <v>126</v>
      </c>
      <c r="B79" s="42" t="s">
        <v>125</v>
      </c>
      <c r="C79" s="25" t="s">
        <v>290</v>
      </c>
    </row>
    <row r="80" spans="1:3">
      <c r="A80" s="42" t="s">
        <v>123</v>
      </c>
      <c r="B80" s="42" t="s">
        <v>122</v>
      </c>
      <c r="C80" s="25" t="s">
        <v>290</v>
      </c>
    </row>
    <row r="81" spans="1:3">
      <c r="A81" s="42" t="s">
        <v>18</v>
      </c>
      <c r="B81" s="42" t="s">
        <v>17</v>
      </c>
      <c r="C81" s="25" t="s">
        <v>290</v>
      </c>
    </row>
    <row r="82" spans="1:3">
      <c r="A82" s="42" t="s">
        <v>119</v>
      </c>
      <c r="B82" s="42" t="s">
        <v>118</v>
      </c>
      <c r="C82" s="25" t="s">
        <v>290</v>
      </c>
    </row>
    <row r="83" spans="1:3">
      <c r="A83" s="42" t="s">
        <v>16</v>
      </c>
      <c r="B83" s="42" t="s">
        <v>15</v>
      </c>
      <c r="C83" s="25" t="s">
        <v>290</v>
      </c>
    </row>
    <row r="84" spans="1:3">
      <c r="A84" s="42" t="s">
        <v>116</v>
      </c>
      <c r="B84" s="42" t="s">
        <v>115</v>
      </c>
      <c r="C84" s="25" t="s">
        <v>290</v>
      </c>
    </row>
    <row r="85" spans="1:3">
      <c r="A85" s="42" t="s">
        <v>13</v>
      </c>
      <c r="B85" s="42" t="s">
        <v>12</v>
      </c>
      <c r="C85" s="25" t="s">
        <v>290</v>
      </c>
    </row>
    <row r="86" spans="1:3">
      <c r="A86" s="42" t="s">
        <v>10</v>
      </c>
      <c r="B86" s="42" t="s">
        <v>9</v>
      </c>
      <c r="C86" s="25" t="s">
        <v>290</v>
      </c>
    </row>
    <row r="87" spans="1:3">
      <c r="A87" s="42" t="s">
        <v>113</v>
      </c>
      <c r="B87" s="42" t="s">
        <v>112</v>
      </c>
      <c r="C87" s="25" t="s">
        <v>290</v>
      </c>
    </row>
    <row r="88" spans="1:3">
      <c r="A88" s="42" t="s">
        <v>7</v>
      </c>
      <c r="B88" s="42" t="s">
        <v>6</v>
      </c>
      <c r="C88" s="25" t="s">
        <v>290</v>
      </c>
    </row>
    <row r="89" spans="1:3">
      <c r="A89" s="42" t="s">
        <v>4</v>
      </c>
      <c r="B89" s="42" t="s">
        <v>3</v>
      </c>
      <c r="C89" s="25" t="s">
        <v>290</v>
      </c>
    </row>
    <row r="90" spans="1:3">
      <c r="A90" s="42" t="s">
        <v>111</v>
      </c>
      <c r="B90" s="42" t="s">
        <v>110</v>
      </c>
      <c r="C90" s="25" t="s">
        <v>290</v>
      </c>
    </row>
    <row r="91" spans="1:3">
      <c r="A91" s="42" t="s">
        <v>108</v>
      </c>
      <c r="B91" s="42" t="s">
        <v>107</v>
      </c>
      <c r="C91" s="25" t="s">
        <v>290</v>
      </c>
    </row>
    <row r="92" spans="1:3">
      <c r="A92" s="42" t="s">
        <v>1</v>
      </c>
      <c r="B92" s="42" t="s">
        <v>0</v>
      </c>
      <c r="C92" s="25" t="s">
        <v>290</v>
      </c>
    </row>
    <row r="93" spans="1:3">
      <c r="A93" s="42" t="s">
        <v>1</v>
      </c>
      <c r="B93" s="42" t="s">
        <v>0</v>
      </c>
      <c r="C93" s="25" t="s">
        <v>290</v>
      </c>
    </row>
    <row r="94" spans="1:3">
      <c r="A94" s="42" t="s">
        <v>1</v>
      </c>
      <c r="B94" s="42" t="s">
        <v>0</v>
      </c>
      <c r="C94" s="25" t="s">
        <v>290</v>
      </c>
    </row>
    <row r="96" spans="1:3">
      <c r="A96" s="25" t="s">
        <v>213</v>
      </c>
    </row>
    <row r="97" spans="1:2">
      <c r="A97" s="25" t="s">
        <v>224</v>
      </c>
    </row>
    <row r="98" spans="1:2">
      <c r="A98" s="25" t="s">
        <v>225</v>
      </c>
    </row>
    <row r="100" spans="1:2" ht="15.5">
      <c r="A100" s="4" t="s">
        <v>369</v>
      </c>
      <c r="B100" s="4">
        <v>0</v>
      </c>
    </row>
    <row r="101" spans="1:2" ht="15.5">
      <c r="A101" s="4" t="s">
        <v>366</v>
      </c>
      <c r="B101" s="31">
        <v>100</v>
      </c>
    </row>
    <row r="102" spans="1:2" ht="15.5">
      <c r="A102" s="4" t="s">
        <v>367</v>
      </c>
      <c r="B102" s="31">
        <v>1000</v>
      </c>
    </row>
    <row r="103" spans="1:2" ht="15.5">
      <c r="A103" s="4" t="s">
        <v>368</v>
      </c>
      <c r="B103" s="31">
        <v>10000</v>
      </c>
    </row>
    <row r="104" spans="1:2" ht="15.5">
      <c r="A104" s="4" t="s">
        <v>371</v>
      </c>
      <c r="B104" s="31">
        <v>100000</v>
      </c>
    </row>
    <row r="105" spans="1:2" ht="15.5">
      <c r="A105" s="4"/>
      <c r="B105" s="4"/>
    </row>
    <row r="106" spans="1:2" ht="15.5">
      <c r="A106" s="4" t="s">
        <v>369</v>
      </c>
      <c r="B106" s="32">
        <v>0</v>
      </c>
    </row>
    <row r="107" spans="1:2" ht="15.5">
      <c r="A107" s="4" t="s">
        <v>381</v>
      </c>
      <c r="B107" s="32">
        <v>1</v>
      </c>
    </row>
    <row r="108" spans="1:2" ht="15.5">
      <c r="A108" s="4" t="s">
        <v>384</v>
      </c>
      <c r="B108" s="32">
        <v>0.5</v>
      </c>
    </row>
    <row r="109" spans="1:2" ht="15.5">
      <c r="A109" s="4" t="s">
        <v>385</v>
      </c>
      <c r="B109" s="32">
        <v>0.25</v>
      </c>
    </row>
  </sheetData>
  <autoFilter ref="A1:C1" xr:uid="{00000000-0009-0000-0000-00000A000000}">
    <sortState xmlns:xlrd2="http://schemas.microsoft.com/office/spreadsheetml/2017/richdata2" ref="A2:C94">
      <sortCondition ref="A1:A94"/>
    </sortState>
  </autoFilter>
  <sortState xmlns:xlrd2="http://schemas.microsoft.com/office/spreadsheetml/2017/richdata2" ref="B17:C94">
    <sortCondition ref="B17:B94"/>
  </sortState>
  <pageMargins left="0.7" right="0.7" top="0.75" bottom="0.75" header="0.3" footer="0.3"/>
  <pageSetup orientation="portrait"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9195B9495523448EAA8C2805A437E4" ma:contentTypeVersion="18" ma:contentTypeDescription="Create a new document." ma:contentTypeScope="" ma:versionID="ce50b26f1290746257332effb07ba80a">
  <xsd:schema xmlns:xsd="http://www.w3.org/2001/XMLSchema" xmlns:xs="http://www.w3.org/2001/XMLSchema" xmlns:p="http://schemas.microsoft.com/office/2006/metadata/properties" xmlns:ns2="081dbcec-f8f8-470e-9cf1-ff758009fc79" xmlns:ns3="b22eec61-2d44-43c5-b594-c27c970b8cd8" xmlns:ns4="985ec44e-1bab-4c0b-9df0-6ba128686fc9" targetNamespace="http://schemas.microsoft.com/office/2006/metadata/properties" ma:root="true" ma:fieldsID="2683b3ad3c91824bdc891e9eee6f2867" ns2:_="" ns3:_="" ns4:_="">
    <xsd:import namespace="081dbcec-f8f8-470e-9cf1-ff758009fc79"/>
    <xsd:import namespace="b22eec61-2d44-43c5-b594-c27c970b8cd8"/>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ServiceLocation" minOccurs="0"/>
                <xsd:element ref="ns2:_Flow_SignoffStatus" minOccurs="0"/>
                <xsd:element ref="ns2:MediaLengthInSeconds"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1dbcec-f8f8-470e-9cf1-ff758009f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_Flow_SignoffStatus" ma:index="20" nillable="true" ma:displayName="Sign-off status" ma:internalName="Sign_x002d_off_x0020_status">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2eec61-2d44-43c5-b594-c27c970b8cd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902270b9-1a1a-45e9-8fcf-74d8e0e0a30b}" ma:internalName="TaxCatchAll" ma:showField="CatchAllData" ma:web="b22eec61-2d44-43c5-b594-c27c970b8c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081dbcec-f8f8-470e-9cf1-ff758009fc79">
      <Terms xmlns="http://schemas.microsoft.com/office/infopath/2007/PartnerControls"/>
    </lcf76f155ced4ddcb4097134ff3c332f>
    <_Flow_SignoffStatus xmlns="081dbcec-f8f8-470e-9cf1-ff758009fc79" xsi:nil="true"/>
  </documentManagement>
</p:properties>
</file>

<file path=customXml/itemProps1.xml><?xml version="1.0" encoding="utf-8"?>
<ds:datastoreItem xmlns:ds="http://schemas.openxmlformats.org/officeDocument/2006/customXml" ds:itemID="{1B3345A5-146E-414B-97BA-EE078DB00E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1dbcec-f8f8-470e-9cf1-ff758009fc79"/>
    <ds:schemaRef ds:uri="b22eec61-2d44-43c5-b594-c27c970b8cd8"/>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9E3001-733C-42EF-826C-B50C7BC550AD}">
  <ds:schemaRefs>
    <ds:schemaRef ds:uri="http://schemas.microsoft.com/sharepoint/v3/contenttype/forms"/>
  </ds:schemaRefs>
</ds:datastoreItem>
</file>

<file path=customXml/itemProps3.xml><?xml version="1.0" encoding="utf-8"?>
<ds:datastoreItem xmlns:ds="http://schemas.openxmlformats.org/officeDocument/2006/customXml" ds:itemID="{6BEFC59A-00D8-416D-83BE-983F705FD984}">
  <ds:schemaRefs>
    <ds:schemaRef ds:uri="http://schemas.microsoft.com/office/2006/metadata/properties"/>
    <ds:schemaRef ds:uri="http://schemas.microsoft.com/office/infopath/2007/PartnerControls"/>
    <ds:schemaRef ds:uri="985ec44e-1bab-4c0b-9df0-6ba128686fc9"/>
    <ds:schemaRef ds:uri="081dbcec-f8f8-470e-9cf1-ff758009fc7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Dietary</vt:lpstr>
      <vt:lpstr>Water</vt:lpstr>
      <vt:lpstr>Soil</vt:lpstr>
      <vt:lpstr>Dust</vt:lpstr>
      <vt:lpstr>Pb</vt:lpstr>
      <vt:lpstr>Economic Inputs</vt:lpstr>
      <vt:lpstr>CA_ingestion</vt:lpstr>
      <vt:lpstr>Hg Values</vt:lpstr>
      <vt:lpstr>OP Values</vt:lpstr>
      <vt:lpstr>List Data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Pure Earth</dc:creator>
  <cp:lastModifiedBy>caroline wood</cp:lastModifiedBy>
  <dcterms:created xsi:type="dcterms:W3CDTF">2019-07-31T12:54:48Z</dcterms:created>
  <dcterms:modified xsi:type="dcterms:W3CDTF">2023-11-23T12:45:33Z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0x010100549195B9495523448EAA8C2805A437E4</vt:lpwstr>
  </property>
</Properties>
</file>